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nugent\AppData\Local\Microsoft\Windows\INetCache\Content.Outlook\5TJHG941\"/>
    </mc:Choice>
  </mc:AlternateContent>
  <xr:revisionPtr revIDLastSave="0" documentId="13_ncr:1_{4C9A6862-D655-4ED6-B1FB-876BD63A71D4}" xr6:coauthVersionLast="45" xr6:coauthVersionMax="45" xr10:uidLastSave="{00000000-0000-0000-0000-000000000000}"/>
  <bookViews>
    <workbookView xWindow="-120" yWindow="-120" windowWidth="25440" windowHeight="15390" xr2:uid="{2F25C279-94C4-4CDC-8796-7E7EBCB33EBD}"/>
  </bookViews>
  <sheets>
    <sheet name="Payroll Register" sheetId="1" r:id="rId1"/>
    <sheet name="Sheet2"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1" l="1"/>
  <c r="F35" i="1"/>
  <c r="E35" i="1"/>
  <c r="L34" i="1"/>
  <c r="L35" i="1" s="1"/>
  <c r="J32" i="1"/>
  <c r="M19" i="1"/>
  <c r="G19" i="1"/>
  <c r="G20" i="1" s="1"/>
  <c r="C19" i="1"/>
  <c r="J16" i="1"/>
  <c r="I16" i="1"/>
  <c r="H16" i="1"/>
  <c r="E16" i="1"/>
  <c r="D29" i="1" s="1"/>
  <c r="B16" i="1"/>
  <c r="J15" i="1"/>
  <c r="I35" i="1" s="1"/>
  <c r="E15" i="1"/>
  <c r="C27" i="1" s="1"/>
  <c r="B15" i="1"/>
  <c r="J12" i="1"/>
  <c r="J11" i="1"/>
  <c r="I11" i="1"/>
  <c r="G2" i="1"/>
  <c r="C2" i="1"/>
  <c r="B2" i="1"/>
  <c r="D24" i="1" l="1"/>
  <c r="D27" i="1"/>
  <c r="D19" i="1"/>
  <c r="D23" i="1"/>
  <c r="G21" i="1"/>
  <c r="G22" i="1" s="1"/>
  <c r="G23" i="1" s="1"/>
  <c r="G24" i="1" s="1"/>
  <c r="G25" i="1" s="1"/>
  <c r="G26" i="1" s="1"/>
  <c r="G27" i="1" s="1"/>
  <c r="G28" i="1" s="1"/>
  <c r="G29" i="1" s="1"/>
  <c r="G30" i="1" s="1"/>
  <c r="E19" i="1"/>
  <c r="D22" i="1"/>
  <c r="D30" i="1"/>
  <c r="M27" i="1"/>
  <c r="M28" i="1" s="1"/>
  <c r="M29" i="1" s="1"/>
  <c r="M30" i="1" s="1"/>
  <c r="F19" i="1"/>
  <c r="C20" i="1"/>
  <c r="C21" i="1" s="1"/>
  <c r="D25" i="1"/>
  <c r="C28" i="1"/>
  <c r="D20" i="1"/>
  <c r="D32" i="1" s="1"/>
  <c r="M20" i="1"/>
  <c r="D28" i="1"/>
  <c r="H19" i="1"/>
  <c r="H27" i="1"/>
  <c r="I19" i="1"/>
  <c r="D26" i="1"/>
  <c r="I27" i="1"/>
  <c r="D21" i="1"/>
  <c r="M21" i="1"/>
  <c r="G32" i="1" l="1"/>
  <c r="H28" i="1"/>
  <c r="I28" i="1"/>
  <c r="C22" i="1"/>
  <c r="M22" i="1"/>
  <c r="K19" i="1"/>
  <c r="C29" i="1"/>
  <c r="I21" i="1"/>
  <c r="H21" i="1"/>
  <c r="H20" i="1"/>
  <c r="F20" i="1"/>
  <c r="F21" i="1" s="1"/>
  <c r="E20" i="1"/>
  <c r="I20" i="1"/>
  <c r="C30" i="1" l="1"/>
  <c r="H29" i="1"/>
  <c r="I29" i="1"/>
  <c r="M23" i="1"/>
  <c r="F22" i="1"/>
  <c r="C23" i="1"/>
  <c r="H22" i="1"/>
  <c r="I22" i="1"/>
  <c r="K20" i="1"/>
  <c r="L20" i="1" s="1"/>
  <c r="N20" i="1" s="1"/>
  <c r="E21" i="1"/>
  <c r="K21" i="1" s="1"/>
  <c r="L21" i="1" s="1"/>
  <c r="N21" i="1" s="1"/>
  <c r="L19" i="1"/>
  <c r="F23" i="1" l="1"/>
  <c r="H23" i="1"/>
  <c r="C24" i="1"/>
  <c r="I23" i="1"/>
  <c r="H30" i="1"/>
  <c r="I30" i="1"/>
  <c r="E22" i="1"/>
  <c r="M24" i="1"/>
  <c r="N19" i="1"/>
  <c r="M25" i="1" l="1"/>
  <c r="I24" i="1"/>
  <c r="F24" i="1"/>
  <c r="H24" i="1"/>
  <c r="C25" i="1"/>
  <c r="E23" i="1"/>
  <c r="K23" i="1" s="1"/>
  <c r="L23" i="1" s="1"/>
  <c r="N23" i="1" s="1"/>
  <c r="K22" i="1"/>
  <c r="M26" i="1" l="1"/>
  <c r="F25" i="1"/>
  <c r="I25" i="1"/>
  <c r="H25" i="1"/>
  <c r="C26" i="1"/>
  <c r="L22" i="1"/>
  <c r="E24" i="1"/>
  <c r="K24" i="1" s="1"/>
  <c r="L24" i="1" s="1"/>
  <c r="N24" i="1" s="1"/>
  <c r="E25" i="1" l="1"/>
  <c r="K25" i="1" s="1"/>
  <c r="N22" i="1"/>
  <c r="M32" i="1"/>
  <c r="F26" i="1"/>
  <c r="F27" i="1" s="1"/>
  <c r="F28" i="1" s="1"/>
  <c r="F29" i="1" s="1"/>
  <c r="F30" i="1" s="1"/>
  <c r="F32" i="1" s="1"/>
  <c r="L36" i="1" s="1"/>
  <c r="H26" i="1"/>
  <c r="H32" i="1" s="1"/>
  <c r="I26" i="1"/>
  <c r="I32" i="1" s="1"/>
  <c r="C32" i="1"/>
  <c r="E26" i="1" l="1"/>
  <c r="L25" i="1"/>
  <c r="K26" i="1"/>
  <c r="L26" i="1" s="1"/>
  <c r="N26" i="1" s="1"/>
  <c r="E27" i="1"/>
  <c r="K27" i="1" l="1"/>
  <c r="L27" i="1" s="1"/>
  <c r="N27" i="1" s="1"/>
  <c r="E28" i="1"/>
  <c r="N25" i="1"/>
  <c r="K28" i="1" l="1"/>
  <c r="L28" i="1" s="1"/>
  <c r="E29" i="1"/>
  <c r="K29" i="1" l="1"/>
  <c r="L29" i="1" s="1"/>
  <c r="N29" i="1" s="1"/>
  <c r="E30" i="1"/>
  <c r="N28" i="1"/>
  <c r="K30" i="1" l="1"/>
  <c r="E32" i="1"/>
  <c r="G36" i="1" s="1"/>
  <c r="L30" i="1" l="1"/>
  <c r="K32" i="1"/>
  <c r="N30" i="1" l="1"/>
  <c r="N32" i="1" s="1"/>
  <c r="L32" i="1"/>
</calcChain>
</file>

<file path=xl/sharedStrings.xml><?xml version="1.0" encoding="utf-8"?>
<sst xmlns="http://schemas.openxmlformats.org/spreadsheetml/2006/main" count="83" uniqueCount="54">
  <si>
    <t xml:space="preserve">SIN </t>
  </si>
  <si>
    <r>
      <t>INPUTS</t>
    </r>
    <r>
      <rPr>
        <b/>
        <sz val="10"/>
        <rFont val="Arial"/>
        <family val="2"/>
      </rPr>
      <t xml:space="preserve"> - In cells I8==&gt;&gt;J12, (with red font). input annual stipend / salary, fair rental value of manse, or allowance in lieu,  estimated annual utility costs and estimated annual phone costs, as indicated. In cell J8, input anniversary incremented amount. </t>
    </r>
  </si>
  <si>
    <t>In cells J19 ==&gt;&gt;J30, (with red font) input the monthly amounts of optional insurance of the staff member, if appropriate. This amount is invoiced to the staff member from the PCIC Pension and Benefits office</t>
  </si>
  <si>
    <t>In cell G19, input the appropriate income tax, as determined from the CRA Online payroll deduction calculator - see link below. On the anniversary month, it will be necessary to re-visit the deduction calculator and input revised figures for income tax based on the new level of stipend / salary.</t>
  </si>
  <si>
    <t>http://www.cra-arc.gc.ca/tx/bsnss/tpcs/pyrll/tbls-eng.html</t>
  </si>
  <si>
    <t>January</t>
  </si>
  <si>
    <t>Increment</t>
  </si>
  <si>
    <t xml:space="preserve">Stipend </t>
  </si>
  <si>
    <r>
      <t xml:space="preserve">Call time - must be </t>
    </r>
    <r>
      <rPr>
        <b/>
        <sz val="10"/>
        <color indexed="10"/>
        <rFont val="Arial"/>
        <family val="2"/>
      </rPr>
      <t>greater than 50%</t>
    </r>
    <r>
      <rPr>
        <sz val="10"/>
        <rFont val="Arial"/>
        <family val="2"/>
      </rPr>
      <t xml:space="preserve">; </t>
    </r>
    <r>
      <rPr>
        <b/>
        <sz val="10"/>
        <rFont val="Arial"/>
        <family val="2"/>
      </rPr>
      <t>not more than 100%   ---</t>
    </r>
    <r>
      <rPr>
        <sz val="10"/>
        <rFont val="Arial"/>
        <family val="2"/>
      </rPr>
      <t>&gt;&gt;</t>
    </r>
  </si>
  <si>
    <t>Fair rental value of manse or cash allowance in lieu, + estimated utility costs</t>
  </si>
  <si>
    <t>Box14&amp;30 *</t>
  </si>
  <si>
    <r>
      <t xml:space="preserve">* Please note that only ministers who live in a manse should have an amount in </t>
    </r>
    <r>
      <rPr>
        <b/>
        <u/>
        <sz val="10"/>
        <rFont val="Arial"/>
        <family val="2"/>
      </rPr>
      <t>Box 30</t>
    </r>
  </si>
  <si>
    <t xml:space="preserve">Stipend + (fair rental value of manse or cash allowance in lieu) + estimated utility costs (exc phone) </t>
  </si>
  <si>
    <t>Estimated phone costs, re-imbursed separately</t>
  </si>
  <si>
    <t>Box14&amp;40 T4</t>
  </si>
  <si>
    <t>* Utilities - electricity and heating are exempt for Income taxes and CPP purposes; phone costs are subject to income tax, CPP and EI</t>
  </si>
  <si>
    <t>Sales tax</t>
  </si>
  <si>
    <t>STIPEND</t>
  </si>
  <si>
    <t>ALLOWANCE in LIEU</t>
  </si>
  <si>
    <t>CPP</t>
  </si>
  <si>
    <t>EI</t>
  </si>
  <si>
    <t>INCOME TAX</t>
  </si>
  <si>
    <t>PENSION</t>
  </si>
  <si>
    <t>GROUP INSURANCE</t>
  </si>
  <si>
    <t>OPTIONAL INSURANCE</t>
  </si>
  <si>
    <t>SUB-TOTAL</t>
  </si>
  <si>
    <t>NET</t>
  </si>
  <si>
    <t>Phone</t>
  </si>
  <si>
    <t>Net Cheque</t>
  </si>
  <si>
    <t>-----</t>
  </si>
  <si>
    <t>February</t>
  </si>
  <si>
    <t>March</t>
  </si>
  <si>
    <t xml:space="preserve">April </t>
  </si>
  <si>
    <t>May</t>
  </si>
  <si>
    <t>June</t>
  </si>
  <si>
    <t>July</t>
  </si>
  <si>
    <t>August</t>
  </si>
  <si>
    <t>September</t>
  </si>
  <si>
    <t>October</t>
  </si>
  <si>
    <t>November</t>
  </si>
  <si>
    <t>December</t>
  </si>
  <si>
    <t>-</t>
  </si>
  <si>
    <t>=</t>
  </si>
  <si>
    <t>Box 14 T4</t>
  </si>
  <si>
    <t>Box 16 T4</t>
  </si>
  <si>
    <t>Box 18 T4</t>
  </si>
  <si>
    <t>Box 22 T4</t>
  </si>
  <si>
    <t>Box 20 T4</t>
  </si>
  <si>
    <t>PCC MQI</t>
  </si>
  <si>
    <t>MAXIMUMS for 2022</t>
  </si>
  <si>
    <t>Position MQI</t>
  </si>
  <si>
    <t>Box 26 T4 CPP pensionable earnings (max $64,900)---&gt;</t>
  </si>
  <si>
    <t>Box 24 T4 EI insurable earnings (max $60,300) -----&gt;</t>
  </si>
  <si>
    <t>NOTE: PLEASE USE THE DEDUCTION CALCULATOR FOR TAXES IN YOUR PROVINCE (CCRA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</si>
</sst>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000\ 000"/>
    <numFmt numFmtId="165" formatCode="&quot;$&quot;#,##0"/>
    <numFmt numFmtId="166" formatCode="0.0%"/>
    <numFmt numFmtId="167" formatCode="&quot;$&quot;#,##0.00"/>
  </numFmts>
  <fonts count="14"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0"/>
      <name val="Arial"/>
      <family val="2"/>
    </font>
    <font>
      <sz val="10"/>
      <name val="Arial"/>
    </font>
    <font>
      <sz val="10"/>
      <color indexed="9"/>
      <name val="Arial"/>
      <family val="2"/>
    </font>
    <font>
      <u/>
      <sz val="10"/>
      <name val="Arial"/>
      <family val="2"/>
    </font>
    <font>
      <b/>
      <sz val="10"/>
      <color indexed="10"/>
      <name val="Arial"/>
      <family val="2"/>
    </font>
    <font>
      <b/>
      <sz val="10"/>
      <color rgb="FFFF0000"/>
      <name val="Arial"/>
      <family val="2"/>
    </font>
    <font>
      <b/>
      <u/>
      <sz val="10"/>
      <name val="Arial"/>
      <family val="2"/>
    </font>
    <font>
      <sz val="8"/>
      <name val="Arial"/>
      <family val="2"/>
    </font>
    <font>
      <sz val="10"/>
      <color indexed="10"/>
      <name val="Arial"/>
      <family val="2"/>
    </font>
    <font>
      <b/>
      <u/>
      <sz val="10"/>
      <color rgb="FFFF0000"/>
      <name val="Arial"/>
      <family val="2"/>
    </font>
  </fonts>
  <fills count="3">
    <fill>
      <patternFill patternType="none"/>
    </fill>
    <fill>
      <patternFill patternType="gray125"/>
    </fill>
    <fill>
      <patternFill patternType="solid">
        <fgColor theme="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indexed="64"/>
      </left>
      <right/>
      <top style="medium">
        <color indexed="64"/>
      </top>
      <bottom style="mediumDashed">
        <color indexed="64"/>
      </bottom>
      <diagonal/>
    </border>
    <border>
      <left/>
      <right/>
      <top style="medium">
        <color indexed="64"/>
      </top>
      <bottom style="mediumDashed">
        <color indexed="64"/>
      </bottom>
      <diagonal/>
    </border>
    <border>
      <left/>
      <right/>
      <top style="mediumDashed">
        <color indexed="64"/>
      </top>
      <bottom style="mediumDashed">
        <color indexed="64"/>
      </bottom>
      <diagonal/>
    </border>
    <border>
      <left style="thick">
        <color indexed="64"/>
      </left>
      <right/>
      <top/>
      <bottom style="dotted">
        <color indexed="64"/>
      </bottom>
      <diagonal/>
    </border>
    <border>
      <left/>
      <right/>
      <top/>
      <bottom style="dotted">
        <color indexed="64"/>
      </bottom>
      <diagonal/>
    </border>
    <border>
      <left/>
      <right style="dotted">
        <color indexed="64"/>
      </right>
      <top style="dotted">
        <color indexed="64"/>
      </top>
      <bottom style="dotted">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92">
    <xf numFmtId="0" fontId="0" fillId="0" borderId="0" xfId="0"/>
    <xf numFmtId="0" fontId="2" fillId="0" borderId="0" xfId="2" applyAlignment="1" applyProtection="1"/>
    <xf numFmtId="0" fontId="2" fillId="0" borderId="0" xfId="2" applyFill="1" applyAlignment="1" applyProtection="1"/>
    <xf numFmtId="4" fontId="3" fillId="0" borderId="0" xfId="0" quotePrefix="1" applyNumberFormat="1" applyFont="1" applyAlignment="1">
      <alignment horizontal="left"/>
    </xf>
    <xf numFmtId="4" fontId="4" fillId="0" borderId="0" xfId="0" applyNumberFormat="1" applyFont="1"/>
    <xf numFmtId="4" fontId="4" fillId="0" borderId="0" xfId="0" quotePrefix="1" applyNumberFormat="1" applyFont="1" applyAlignment="1">
      <alignment horizontal="left"/>
    </xf>
    <xf numFmtId="0" fontId="5" fillId="0" borderId="0" xfId="0" applyFont="1"/>
    <xf numFmtId="0" fontId="6" fillId="0" borderId="0" xfId="0" applyFont="1"/>
    <xf numFmtId="0" fontId="7" fillId="0" borderId="0" xfId="0" quotePrefix="1" applyFont="1" applyAlignment="1">
      <alignment horizontal="left"/>
    </xf>
    <xf numFmtId="0" fontId="3" fillId="0" borderId="0" xfId="0" applyFont="1"/>
    <xf numFmtId="0" fontId="3" fillId="0" borderId="0" xfId="0" applyFont="1" applyAlignment="1">
      <alignment horizontal="right"/>
    </xf>
    <xf numFmtId="164" fontId="3" fillId="0" borderId="0" xfId="0" quotePrefix="1" applyNumberFormat="1" applyFont="1" applyAlignment="1">
      <alignment horizontal="center"/>
    </xf>
    <xf numFmtId="0" fontId="3" fillId="0" borderId="4" xfId="0" applyFont="1" applyBorder="1" applyAlignment="1">
      <alignment horizontal="left"/>
    </xf>
    <xf numFmtId="0" fontId="2" fillId="0" borderId="0" xfId="2" quotePrefix="1" applyFill="1" applyBorder="1" applyAlignment="1" applyProtection="1">
      <alignment horizontal="left"/>
    </xf>
    <xf numFmtId="0" fontId="3" fillId="0" borderId="5" xfId="0" applyFont="1" applyBorder="1"/>
    <xf numFmtId="17" fontId="3" fillId="0" borderId="0" xfId="0" applyNumberFormat="1" applyFont="1" applyAlignment="1">
      <alignment horizontal="center"/>
    </xf>
    <xf numFmtId="0" fontId="3" fillId="0" borderId="0" xfId="0" applyFont="1" applyAlignment="1">
      <alignment horizontal="center"/>
    </xf>
    <xf numFmtId="0" fontId="3" fillId="0" borderId="4" xfId="0" quotePrefix="1" applyFont="1" applyBorder="1" applyAlignment="1">
      <alignment horizontal="left"/>
    </xf>
    <xf numFmtId="9" fontId="9" fillId="0" borderId="8" xfId="1" applyFont="1" applyFill="1" applyBorder="1" applyAlignment="1">
      <alignment horizontal="center"/>
    </xf>
    <xf numFmtId="165" fontId="8" fillId="0" borderId="0" xfId="0" applyNumberFormat="1" applyFont="1"/>
    <xf numFmtId="165" fontId="5" fillId="0" borderId="0" xfId="0" applyNumberFormat="1" applyFont="1"/>
    <xf numFmtId="0" fontId="4" fillId="0" borderId="0" xfId="0" applyFont="1"/>
    <xf numFmtId="0" fontId="4" fillId="0" borderId="9" xfId="0" quotePrefix="1" applyFont="1" applyBorder="1" applyAlignment="1">
      <alignment horizontal="center"/>
    </xf>
    <xf numFmtId="0" fontId="4" fillId="0" borderId="4" xfId="0" applyFont="1" applyBorder="1" applyAlignment="1">
      <alignment horizontal="left"/>
    </xf>
    <xf numFmtId="0" fontId="4" fillId="0" borderId="6" xfId="0" applyFont="1" applyBorder="1"/>
    <xf numFmtId="0" fontId="5" fillId="0" borderId="7" xfId="0" applyFont="1" applyBorder="1"/>
    <xf numFmtId="165" fontId="8" fillId="0" borderId="7" xfId="0" applyNumberFormat="1" applyFont="1" applyBorder="1"/>
    <xf numFmtId="0" fontId="4" fillId="0" borderId="10" xfId="0" quotePrefix="1" applyFont="1" applyBorder="1" applyAlignment="1">
      <alignment horizontal="right"/>
    </xf>
    <xf numFmtId="3" fontId="5" fillId="0" borderId="0" xfId="0" applyNumberFormat="1" applyFont="1"/>
    <xf numFmtId="165" fontId="3" fillId="0" borderId="0" xfId="0" applyNumberFormat="1" applyFont="1"/>
    <xf numFmtId="0" fontId="4" fillId="0" borderId="10" xfId="0" applyFont="1" applyBorder="1"/>
    <xf numFmtId="0" fontId="3" fillId="0" borderId="0" xfId="0" quotePrefix="1" applyFont="1" applyAlignment="1">
      <alignment horizontal="left"/>
    </xf>
    <xf numFmtId="4" fontId="3" fillId="0" borderId="0" xfId="0" applyNumberFormat="1" applyFont="1"/>
    <xf numFmtId="2" fontId="3" fillId="0" borderId="6" xfId="0" applyNumberFormat="1" applyFont="1" applyBorder="1"/>
    <xf numFmtId="4" fontId="3" fillId="0" borderId="7" xfId="0" applyNumberFormat="1" applyFont="1" applyBorder="1"/>
    <xf numFmtId="4" fontId="3" fillId="0" borderId="8" xfId="0" applyNumberFormat="1" applyFont="1" applyBorder="1" applyAlignment="1">
      <alignment horizontal="center"/>
    </xf>
    <xf numFmtId="4" fontId="3" fillId="0" borderId="0" xfId="0" applyNumberFormat="1" applyFont="1" applyAlignment="1">
      <alignment horizontal="center"/>
    </xf>
    <xf numFmtId="4" fontId="3" fillId="0" borderId="6" xfId="0" applyNumberFormat="1" applyFont="1" applyBorder="1" applyAlignment="1">
      <alignment horizontal="center"/>
    </xf>
    <xf numFmtId="166" fontId="3" fillId="0" borderId="8" xfId="0" quotePrefix="1" applyNumberFormat="1" applyFont="1" applyBorder="1" applyAlignment="1">
      <alignment horizontal="center"/>
    </xf>
    <xf numFmtId="0" fontId="5" fillId="0" borderId="5" xfId="0" applyFont="1" applyBorder="1"/>
    <xf numFmtId="0" fontId="5" fillId="0" borderId="11" xfId="0" applyFont="1" applyBorder="1"/>
    <xf numFmtId="4" fontId="3" fillId="0" borderId="10" xfId="0" quotePrefix="1" applyNumberFormat="1" applyFont="1" applyBorder="1" applyAlignment="1">
      <alignment horizontal="center"/>
    </xf>
    <xf numFmtId="0" fontId="3" fillId="0" borderId="7" xfId="0" applyFont="1" applyBorder="1" applyAlignment="1">
      <alignment horizontal="center"/>
    </xf>
    <xf numFmtId="4" fontId="3" fillId="0" borderId="11" xfId="0" applyNumberFormat="1" applyFont="1" applyBorder="1" applyAlignment="1">
      <alignment horizontal="center"/>
    </xf>
    <xf numFmtId="4" fontId="3" fillId="0" borderId="12" xfId="0" applyNumberFormat="1" applyFont="1" applyBorder="1"/>
    <xf numFmtId="0" fontId="6" fillId="0" borderId="0" xfId="0" applyFont="1" applyAlignment="1">
      <alignment wrapText="1"/>
    </xf>
    <xf numFmtId="4" fontId="3" fillId="0" borderId="0" xfId="0" quotePrefix="1" applyNumberFormat="1" applyFont="1" applyAlignment="1">
      <alignment horizontal="left" wrapText="1"/>
    </xf>
    <xf numFmtId="4" fontId="3" fillId="0" borderId="0" xfId="0" applyNumberFormat="1" applyFont="1" applyAlignment="1">
      <alignment horizontal="center" wrapText="1"/>
    </xf>
    <xf numFmtId="4" fontId="3" fillId="0" borderId="0" xfId="0" quotePrefix="1" applyNumberFormat="1" applyFont="1" applyAlignment="1">
      <alignment horizontal="center" wrapText="1"/>
    </xf>
    <xf numFmtId="0" fontId="0" fillId="0" borderId="0" xfId="0" applyAlignment="1">
      <alignment wrapText="1"/>
    </xf>
    <xf numFmtId="0" fontId="11" fillId="0" borderId="0" xfId="0" quotePrefix="1" applyFont="1" applyAlignment="1">
      <alignment horizontal="left" wrapText="1"/>
    </xf>
    <xf numFmtId="0" fontId="5" fillId="0" borderId="0" xfId="0" applyFont="1" applyAlignment="1">
      <alignment wrapText="1"/>
    </xf>
    <xf numFmtId="4" fontId="12" fillId="0" borderId="0" xfId="0" applyNumberFormat="1" applyFont="1"/>
    <xf numFmtId="4" fontId="5" fillId="0" borderId="0" xfId="0" applyNumberFormat="1" applyFont="1"/>
    <xf numFmtId="0" fontId="3" fillId="0" borderId="0" xfId="0" quotePrefix="1" applyFont="1" applyAlignment="1">
      <alignment horizontal="fill"/>
    </xf>
    <xf numFmtId="0" fontId="3" fillId="0" borderId="0" xfId="0" quotePrefix="1" applyFont="1" applyAlignment="1">
      <alignment horizontal="center"/>
    </xf>
    <xf numFmtId="4" fontId="3" fillId="0" borderId="0" xfId="0" applyNumberFormat="1" applyFont="1" applyAlignment="1">
      <alignment horizontal="fill"/>
    </xf>
    <xf numFmtId="0" fontId="6" fillId="0" borderId="0" xfId="0" applyFont="1" applyAlignment="1">
      <alignment horizontal="center"/>
    </xf>
    <xf numFmtId="4" fontId="3" fillId="0" borderId="10" xfId="0" applyNumberFormat="1" applyFont="1" applyBorder="1" applyAlignment="1">
      <alignment horizontal="center"/>
    </xf>
    <xf numFmtId="4" fontId="3" fillId="0" borderId="0" xfId="0" quotePrefix="1" applyNumberFormat="1" applyFont="1" applyAlignment="1">
      <alignment horizontal="center"/>
    </xf>
    <xf numFmtId="4" fontId="3" fillId="0" borderId="6" xfId="0" applyNumberFormat="1" applyFont="1" applyBorder="1" applyAlignment="1">
      <alignment horizontal="left"/>
    </xf>
    <xf numFmtId="165" fontId="4" fillId="0" borderId="8" xfId="0" applyNumberFormat="1" applyFont="1" applyBorder="1" applyAlignment="1">
      <alignment horizontal="right"/>
    </xf>
    <xf numFmtId="0" fontId="5" fillId="0" borderId="0" xfId="0" applyFont="1" applyAlignment="1">
      <alignment horizontal="center"/>
    </xf>
    <xf numFmtId="0" fontId="3" fillId="0" borderId="6" xfId="0" quotePrefix="1" applyFont="1" applyBorder="1" applyAlignment="1">
      <alignment horizontal="left" wrapText="1"/>
    </xf>
    <xf numFmtId="0" fontId="3" fillId="2" borderId="7" xfId="0" applyFont="1" applyFill="1" applyBorder="1"/>
    <xf numFmtId="167" fontId="3" fillId="0" borderId="7" xfId="0" applyNumberFormat="1" applyFont="1" applyBorder="1" applyAlignment="1">
      <alignment horizontal="center"/>
    </xf>
    <xf numFmtId="165" fontId="3" fillId="0" borderId="7" xfId="0" applyNumberFormat="1" applyFont="1" applyBorder="1" applyAlignment="1">
      <alignment horizontal="center"/>
    </xf>
    <xf numFmtId="167" fontId="3" fillId="0" borderId="8" xfId="0" applyNumberFormat="1" applyFont="1" applyBorder="1" applyAlignment="1">
      <alignment horizontal="center"/>
    </xf>
    <xf numFmtId="167" fontId="3" fillId="0" borderId="0" xfId="0" applyNumberFormat="1" applyFont="1" applyAlignment="1">
      <alignment horizontal="center"/>
    </xf>
    <xf numFmtId="0" fontId="3" fillId="0" borderId="6" xfId="0" applyFont="1" applyBorder="1" applyAlignment="1">
      <alignment horizontal="left"/>
    </xf>
    <xf numFmtId="165" fontId="4" fillId="0" borderId="8" xfId="0" applyNumberFormat="1" applyFont="1" applyBorder="1"/>
    <xf numFmtId="165" fontId="3" fillId="0" borderId="15" xfId="0" applyNumberFormat="1" applyFont="1" applyBorder="1" applyAlignment="1">
      <alignment horizontal="center"/>
    </xf>
    <xf numFmtId="165" fontId="3" fillId="0" borderId="18" xfId="0" applyNumberFormat="1" applyFont="1" applyBorder="1" applyAlignment="1">
      <alignment horizontal="center"/>
    </xf>
    <xf numFmtId="0" fontId="12" fillId="0" borderId="0" xfId="0" applyFont="1"/>
    <xf numFmtId="167" fontId="3" fillId="0" borderId="0" xfId="0" applyNumberFormat="1" applyFont="1"/>
    <xf numFmtId="167" fontId="3" fillId="0" borderId="0" xfId="0" quotePrefix="1" applyNumberFormat="1" applyFont="1"/>
    <xf numFmtId="0" fontId="4" fillId="0" borderId="0" xfId="0" applyFont="1" applyAlignment="1">
      <alignment horizontal="left"/>
    </xf>
    <xf numFmtId="4" fontId="4" fillId="0" borderId="0" xfId="0" applyNumberFormat="1" applyFont="1" applyAlignment="1">
      <alignment horizontal="center"/>
    </xf>
    <xf numFmtId="0" fontId="13" fillId="0" borderId="0" xfId="0" applyFont="1"/>
    <xf numFmtId="0" fontId="13" fillId="0" borderId="0" xfId="0" quotePrefix="1" applyFont="1" applyAlignment="1">
      <alignment horizontal="left"/>
    </xf>
    <xf numFmtId="0" fontId="8" fillId="0" borderId="1" xfId="0" quotePrefix="1" applyFont="1" applyBorder="1" applyAlignment="1">
      <alignment horizontal="left" wrapText="1"/>
    </xf>
    <xf numFmtId="0" fontId="0" fillId="0" borderId="2" xfId="0" applyBorder="1"/>
    <xf numFmtId="0" fontId="0" fillId="0" borderId="3" xfId="0" applyBorder="1"/>
    <xf numFmtId="0" fontId="4" fillId="0" borderId="4" xfId="0" quotePrefix="1" applyFont="1" applyBorder="1" applyAlignment="1">
      <alignment horizontal="left" wrapText="1"/>
    </xf>
    <xf numFmtId="0" fontId="0" fillId="0" borderId="0" xfId="0" applyAlignment="1">
      <alignment wrapText="1"/>
    </xf>
    <xf numFmtId="0" fontId="0" fillId="0" borderId="5" xfId="0" applyBorder="1" applyAlignment="1">
      <alignment wrapText="1"/>
    </xf>
    <xf numFmtId="0" fontId="3" fillId="0" borderId="6" xfId="0" quotePrefix="1" applyFont="1" applyBorder="1" applyAlignment="1">
      <alignment horizontal="center"/>
    </xf>
    <xf numFmtId="0" fontId="3" fillId="0" borderId="7" xfId="0" quotePrefix="1" applyFont="1" applyBorder="1" applyAlignment="1">
      <alignment horizontal="center"/>
    </xf>
    <xf numFmtId="0" fontId="3" fillId="0" borderId="13" xfId="0" quotePrefix="1" applyFont="1" applyBorder="1" applyAlignment="1">
      <alignment horizontal="right"/>
    </xf>
    <xf numFmtId="0" fontId="3" fillId="0" borderId="14" xfId="0" quotePrefix="1" applyFont="1" applyBorder="1" applyAlignment="1">
      <alignment horizontal="right"/>
    </xf>
    <xf numFmtId="0" fontId="3" fillId="0" borderId="16" xfId="0" quotePrefix="1" applyFont="1" applyBorder="1" applyAlignment="1">
      <alignment horizontal="right"/>
    </xf>
    <xf numFmtId="0" fontId="3" fillId="0" borderId="17" xfId="0" quotePrefix="1" applyFont="1" applyBorder="1" applyAlignment="1">
      <alignment horizontal="right"/>
    </xf>
  </cellXfs>
  <cellStyles count="3">
    <cellStyle name="Hyperlink" xfId="2" builtinId="8"/>
    <cellStyle name="Normal" xfId="0" builtinId="0"/>
    <cellStyle name="Percent" xfId="1" builtinId="5"/>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ayroll\Payroll%20register-2022%20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mary"/>
      <sheetName val="Senior Pastor"/>
      <sheetName val="Second Pastor"/>
      <sheetName val="Youth Director"/>
      <sheetName val="Music Director"/>
      <sheetName val="Off admin"/>
      <sheetName val="Off admin 2"/>
      <sheetName val="Janitor"/>
      <sheetName val="Options"/>
    </sheetNames>
    <sheetDataSet>
      <sheetData sheetId="0">
        <row r="2">
          <cell r="E2" t="str">
            <v>Living in manse or receiving cash allowance</v>
          </cell>
          <cell r="F2" t="str">
            <v>Month of induction / service anniversary</v>
          </cell>
        </row>
        <row r="4">
          <cell r="B4" t="str">
            <v>Rev  R Minister</v>
          </cell>
          <cell r="C4">
            <v>789654321</v>
          </cell>
          <cell r="D4" t="str">
            <v>Senior Pastor</v>
          </cell>
          <cell r="E4" t="str">
            <v>Manse</v>
          </cell>
          <cell r="F4" t="str">
            <v>September</v>
          </cell>
          <cell r="G4" t="str">
            <v>Yes</v>
          </cell>
          <cell r="H4" t="str">
            <v>Yes</v>
          </cell>
          <cell r="I4" t="str">
            <v>No</v>
          </cell>
        </row>
        <row r="12">
          <cell r="H12">
            <v>0.08</v>
          </cell>
        </row>
        <row r="58">
          <cell r="B58">
            <v>1.5800000000000002E-2</v>
          </cell>
          <cell r="C58">
            <v>5.7000000000000002E-2</v>
          </cell>
        </row>
        <row r="59">
          <cell r="B59">
            <v>952.74</v>
          </cell>
          <cell r="C59">
            <v>3499.8</v>
          </cell>
        </row>
        <row r="62">
          <cell r="C62">
            <v>75840</v>
          </cell>
        </row>
        <row r="63">
          <cell r="B63">
            <v>0.08</v>
          </cell>
          <cell r="C63">
            <v>6067.2</v>
          </cell>
        </row>
        <row r="65">
          <cell r="B65">
            <v>2.1999999999999999E-2</v>
          </cell>
          <cell r="C65">
            <v>1668.48</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a-arc.gc.ca/tx/bsnss/tpcs/pyrll/tbls-e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86053-5B34-4970-A781-AC935F405FF6}">
  <dimension ref="A1:P54"/>
  <sheetViews>
    <sheetView tabSelected="1" workbookViewId="0">
      <selection activeCell="I8" sqref="I8"/>
    </sheetView>
  </sheetViews>
  <sheetFormatPr defaultRowHeight="12.75" x14ac:dyDescent="0.2"/>
  <cols>
    <col min="1" max="1" width="2.140625" style="6" customWidth="1"/>
    <col min="2" max="2" width="16.42578125" style="9" customWidth="1"/>
    <col min="3" max="12" width="12.5703125" style="9" customWidth="1"/>
    <col min="13" max="13" width="9.140625" style="6"/>
    <col min="14" max="14" width="11" style="6" customWidth="1"/>
    <col min="15" max="256" width="9.140625" style="6"/>
    <col min="257" max="257" width="2.140625" style="6" customWidth="1"/>
    <col min="258" max="258" width="16.42578125" style="6" customWidth="1"/>
    <col min="259" max="268" width="12.5703125" style="6" customWidth="1"/>
    <col min="269" max="269" width="9.140625" style="6"/>
    <col min="270" max="270" width="11" style="6" customWidth="1"/>
    <col min="271" max="512" width="9.140625" style="6"/>
    <col min="513" max="513" width="2.140625" style="6" customWidth="1"/>
    <col min="514" max="514" width="16.42578125" style="6" customWidth="1"/>
    <col min="515" max="524" width="12.5703125" style="6" customWidth="1"/>
    <col min="525" max="525" width="9.140625" style="6"/>
    <col min="526" max="526" width="11" style="6" customWidth="1"/>
    <col min="527" max="768" width="9.140625" style="6"/>
    <col min="769" max="769" width="2.140625" style="6" customWidth="1"/>
    <col min="770" max="770" width="16.42578125" style="6" customWidth="1"/>
    <col min="771" max="780" width="12.5703125" style="6" customWidth="1"/>
    <col min="781" max="781" width="9.140625" style="6"/>
    <col min="782" max="782" width="11" style="6" customWidth="1"/>
    <col min="783" max="1024" width="9.140625" style="6"/>
    <col min="1025" max="1025" width="2.140625" style="6" customWidth="1"/>
    <col min="1026" max="1026" width="16.42578125" style="6" customWidth="1"/>
    <col min="1027" max="1036" width="12.5703125" style="6" customWidth="1"/>
    <col min="1037" max="1037" width="9.140625" style="6"/>
    <col min="1038" max="1038" width="11" style="6" customWidth="1"/>
    <col min="1039" max="1280" width="9.140625" style="6"/>
    <col min="1281" max="1281" width="2.140625" style="6" customWidth="1"/>
    <col min="1282" max="1282" width="16.42578125" style="6" customWidth="1"/>
    <col min="1283" max="1292" width="12.5703125" style="6" customWidth="1"/>
    <col min="1293" max="1293" width="9.140625" style="6"/>
    <col min="1294" max="1294" width="11" style="6" customWidth="1"/>
    <col min="1295" max="1536" width="9.140625" style="6"/>
    <col min="1537" max="1537" width="2.140625" style="6" customWidth="1"/>
    <col min="1538" max="1538" width="16.42578125" style="6" customWidth="1"/>
    <col min="1539" max="1548" width="12.5703125" style="6" customWidth="1"/>
    <col min="1549" max="1549" width="9.140625" style="6"/>
    <col min="1550" max="1550" width="11" style="6" customWidth="1"/>
    <col min="1551" max="1792" width="9.140625" style="6"/>
    <col min="1793" max="1793" width="2.140625" style="6" customWidth="1"/>
    <col min="1794" max="1794" width="16.42578125" style="6" customWidth="1"/>
    <col min="1795" max="1804" width="12.5703125" style="6" customWidth="1"/>
    <col min="1805" max="1805" width="9.140625" style="6"/>
    <col min="1806" max="1806" width="11" style="6" customWidth="1"/>
    <col min="1807" max="2048" width="9.140625" style="6"/>
    <col min="2049" max="2049" width="2.140625" style="6" customWidth="1"/>
    <col min="2050" max="2050" width="16.42578125" style="6" customWidth="1"/>
    <col min="2051" max="2060" width="12.5703125" style="6" customWidth="1"/>
    <col min="2061" max="2061" width="9.140625" style="6"/>
    <col min="2062" max="2062" width="11" style="6" customWidth="1"/>
    <col min="2063" max="2304" width="9.140625" style="6"/>
    <col min="2305" max="2305" width="2.140625" style="6" customWidth="1"/>
    <col min="2306" max="2306" width="16.42578125" style="6" customWidth="1"/>
    <col min="2307" max="2316" width="12.5703125" style="6" customWidth="1"/>
    <col min="2317" max="2317" width="9.140625" style="6"/>
    <col min="2318" max="2318" width="11" style="6" customWidth="1"/>
    <col min="2319" max="2560" width="9.140625" style="6"/>
    <col min="2561" max="2561" width="2.140625" style="6" customWidth="1"/>
    <col min="2562" max="2562" width="16.42578125" style="6" customWidth="1"/>
    <col min="2563" max="2572" width="12.5703125" style="6" customWidth="1"/>
    <col min="2573" max="2573" width="9.140625" style="6"/>
    <col min="2574" max="2574" width="11" style="6" customWidth="1"/>
    <col min="2575" max="2816" width="9.140625" style="6"/>
    <col min="2817" max="2817" width="2.140625" style="6" customWidth="1"/>
    <col min="2818" max="2818" width="16.42578125" style="6" customWidth="1"/>
    <col min="2819" max="2828" width="12.5703125" style="6" customWidth="1"/>
    <col min="2829" max="2829" width="9.140625" style="6"/>
    <col min="2830" max="2830" width="11" style="6" customWidth="1"/>
    <col min="2831" max="3072" width="9.140625" style="6"/>
    <col min="3073" max="3073" width="2.140625" style="6" customWidth="1"/>
    <col min="3074" max="3074" width="16.42578125" style="6" customWidth="1"/>
    <col min="3075" max="3084" width="12.5703125" style="6" customWidth="1"/>
    <col min="3085" max="3085" width="9.140625" style="6"/>
    <col min="3086" max="3086" width="11" style="6" customWidth="1"/>
    <col min="3087" max="3328" width="9.140625" style="6"/>
    <col min="3329" max="3329" width="2.140625" style="6" customWidth="1"/>
    <col min="3330" max="3330" width="16.42578125" style="6" customWidth="1"/>
    <col min="3331" max="3340" width="12.5703125" style="6" customWidth="1"/>
    <col min="3341" max="3341" width="9.140625" style="6"/>
    <col min="3342" max="3342" width="11" style="6" customWidth="1"/>
    <col min="3343" max="3584" width="9.140625" style="6"/>
    <col min="3585" max="3585" width="2.140625" style="6" customWidth="1"/>
    <col min="3586" max="3586" width="16.42578125" style="6" customWidth="1"/>
    <col min="3587" max="3596" width="12.5703125" style="6" customWidth="1"/>
    <col min="3597" max="3597" width="9.140625" style="6"/>
    <col min="3598" max="3598" width="11" style="6" customWidth="1"/>
    <col min="3599" max="3840" width="9.140625" style="6"/>
    <col min="3841" max="3841" width="2.140625" style="6" customWidth="1"/>
    <col min="3842" max="3842" width="16.42578125" style="6" customWidth="1"/>
    <col min="3843" max="3852" width="12.5703125" style="6" customWidth="1"/>
    <col min="3853" max="3853" width="9.140625" style="6"/>
    <col min="3854" max="3854" width="11" style="6" customWidth="1"/>
    <col min="3855" max="4096" width="9.140625" style="6"/>
    <col min="4097" max="4097" width="2.140625" style="6" customWidth="1"/>
    <col min="4098" max="4098" width="16.42578125" style="6" customWidth="1"/>
    <col min="4099" max="4108" width="12.5703125" style="6" customWidth="1"/>
    <col min="4109" max="4109" width="9.140625" style="6"/>
    <col min="4110" max="4110" width="11" style="6" customWidth="1"/>
    <col min="4111" max="4352" width="9.140625" style="6"/>
    <col min="4353" max="4353" width="2.140625" style="6" customWidth="1"/>
    <col min="4354" max="4354" width="16.42578125" style="6" customWidth="1"/>
    <col min="4355" max="4364" width="12.5703125" style="6" customWidth="1"/>
    <col min="4365" max="4365" width="9.140625" style="6"/>
    <col min="4366" max="4366" width="11" style="6" customWidth="1"/>
    <col min="4367" max="4608" width="9.140625" style="6"/>
    <col min="4609" max="4609" width="2.140625" style="6" customWidth="1"/>
    <col min="4610" max="4610" width="16.42578125" style="6" customWidth="1"/>
    <col min="4611" max="4620" width="12.5703125" style="6" customWidth="1"/>
    <col min="4621" max="4621" width="9.140625" style="6"/>
    <col min="4622" max="4622" width="11" style="6" customWidth="1"/>
    <col min="4623" max="4864" width="9.140625" style="6"/>
    <col min="4865" max="4865" width="2.140625" style="6" customWidth="1"/>
    <col min="4866" max="4866" width="16.42578125" style="6" customWidth="1"/>
    <col min="4867" max="4876" width="12.5703125" style="6" customWidth="1"/>
    <col min="4877" max="4877" width="9.140625" style="6"/>
    <col min="4878" max="4878" width="11" style="6" customWidth="1"/>
    <col min="4879" max="5120" width="9.140625" style="6"/>
    <col min="5121" max="5121" width="2.140625" style="6" customWidth="1"/>
    <col min="5122" max="5122" width="16.42578125" style="6" customWidth="1"/>
    <col min="5123" max="5132" width="12.5703125" style="6" customWidth="1"/>
    <col min="5133" max="5133" width="9.140625" style="6"/>
    <col min="5134" max="5134" width="11" style="6" customWidth="1"/>
    <col min="5135" max="5376" width="9.140625" style="6"/>
    <col min="5377" max="5377" width="2.140625" style="6" customWidth="1"/>
    <col min="5378" max="5378" width="16.42578125" style="6" customWidth="1"/>
    <col min="5379" max="5388" width="12.5703125" style="6" customWidth="1"/>
    <col min="5389" max="5389" width="9.140625" style="6"/>
    <col min="5390" max="5390" width="11" style="6" customWidth="1"/>
    <col min="5391" max="5632" width="9.140625" style="6"/>
    <col min="5633" max="5633" width="2.140625" style="6" customWidth="1"/>
    <col min="5634" max="5634" width="16.42578125" style="6" customWidth="1"/>
    <col min="5635" max="5644" width="12.5703125" style="6" customWidth="1"/>
    <col min="5645" max="5645" width="9.140625" style="6"/>
    <col min="5646" max="5646" width="11" style="6" customWidth="1"/>
    <col min="5647" max="5888" width="9.140625" style="6"/>
    <col min="5889" max="5889" width="2.140625" style="6" customWidth="1"/>
    <col min="5890" max="5890" width="16.42578125" style="6" customWidth="1"/>
    <col min="5891" max="5900" width="12.5703125" style="6" customWidth="1"/>
    <col min="5901" max="5901" width="9.140625" style="6"/>
    <col min="5902" max="5902" width="11" style="6" customWidth="1"/>
    <col min="5903" max="6144" width="9.140625" style="6"/>
    <col min="6145" max="6145" width="2.140625" style="6" customWidth="1"/>
    <col min="6146" max="6146" width="16.42578125" style="6" customWidth="1"/>
    <col min="6147" max="6156" width="12.5703125" style="6" customWidth="1"/>
    <col min="6157" max="6157" width="9.140625" style="6"/>
    <col min="6158" max="6158" width="11" style="6" customWidth="1"/>
    <col min="6159" max="6400" width="9.140625" style="6"/>
    <col min="6401" max="6401" width="2.140625" style="6" customWidth="1"/>
    <col min="6402" max="6402" width="16.42578125" style="6" customWidth="1"/>
    <col min="6403" max="6412" width="12.5703125" style="6" customWidth="1"/>
    <col min="6413" max="6413" width="9.140625" style="6"/>
    <col min="6414" max="6414" width="11" style="6" customWidth="1"/>
    <col min="6415" max="6656" width="9.140625" style="6"/>
    <col min="6657" max="6657" width="2.140625" style="6" customWidth="1"/>
    <col min="6658" max="6658" width="16.42578125" style="6" customWidth="1"/>
    <col min="6659" max="6668" width="12.5703125" style="6" customWidth="1"/>
    <col min="6669" max="6669" width="9.140625" style="6"/>
    <col min="6670" max="6670" width="11" style="6" customWidth="1"/>
    <col min="6671" max="6912" width="9.140625" style="6"/>
    <col min="6913" max="6913" width="2.140625" style="6" customWidth="1"/>
    <col min="6914" max="6914" width="16.42578125" style="6" customWidth="1"/>
    <col min="6915" max="6924" width="12.5703125" style="6" customWidth="1"/>
    <col min="6925" max="6925" width="9.140625" style="6"/>
    <col min="6926" max="6926" width="11" style="6" customWidth="1"/>
    <col min="6927" max="7168" width="9.140625" style="6"/>
    <col min="7169" max="7169" width="2.140625" style="6" customWidth="1"/>
    <col min="7170" max="7170" width="16.42578125" style="6" customWidth="1"/>
    <col min="7171" max="7180" width="12.5703125" style="6" customWidth="1"/>
    <col min="7181" max="7181" width="9.140625" style="6"/>
    <col min="7182" max="7182" width="11" style="6" customWidth="1"/>
    <col min="7183" max="7424" width="9.140625" style="6"/>
    <col min="7425" max="7425" width="2.140625" style="6" customWidth="1"/>
    <col min="7426" max="7426" width="16.42578125" style="6" customWidth="1"/>
    <col min="7427" max="7436" width="12.5703125" style="6" customWidth="1"/>
    <col min="7437" max="7437" width="9.140625" style="6"/>
    <col min="7438" max="7438" width="11" style="6" customWidth="1"/>
    <col min="7439" max="7680" width="9.140625" style="6"/>
    <col min="7681" max="7681" width="2.140625" style="6" customWidth="1"/>
    <col min="7682" max="7682" width="16.42578125" style="6" customWidth="1"/>
    <col min="7683" max="7692" width="12.5703125" style="6" customWidth="1"/>
    <col min="7693" max="7693" width="9.140625" style="6"/>
    <col min="7694" max="7694" width="11" style="6" customWidth="1"/>
    <col min="7695" max="7936" width="9.140625" style="6"/>
    <col min="7937" max="7937" width="2.140625" style="6" customWidth="1"/>
    <col min="7938" max="7938" width="16.42578125" style="6" customWidth="1"/>
    <col min="7939" max="7948" width="12.5703125" style="6" customWidth="1"/>
    <col min="7949" max="7949" width="9.140625" style="6"/>
    <col min="7950" max="7950" width="11" style="6" customWidth="1"/>
    <col min="7951" max="8192" width="9.140625" style="6"/>
    <col min="8193" max="8193" width="2.140625" style="6" customWidth="1"/>
    <col min="8194" max="8194" width="16.42578125" style="6" customWidth="1"/>
    <col min="8195" max="8204" width="12.5703125" style="6" customWidth="1"/>
    <col min="8205" max="8205" width="9.140625" style="6"/>
    <col min="8206" max="8206" width="11" style="6" customWidth="1"/>
    <col min="8207" max="8448" width="9.140625" style="6"/>
    <col min="8449" max="8449" width="2.140625" style="6" customWidth="1"/>
    <col min="8450" max="8450" width="16.42578125" style="6" customWidth="1"/>
    <col min="8451" max="8460" width="12.5703125" style="6" customWidth="1"/>
    <col min="8461" max="8461" width="9.140625" style="6"/>
    <col min="8462" max="8462" width="11" style="6" customWidth="1"/>
    <col min="8463" max="8704" width="9.140625" style="6"/>
    <col min="8705" max="8705" width="2.140625" style="6" customWidth="1"/>
    <col min="8706" max="8706" width="16.42578125" style="6" customWidth="1"/>
    <col min="8707" max="8716" width="12.5703125" style="6" customWidth="1"/>
    <col min="8717" max="8717" width="9.140625" style="6"/>
    <col min="8718" max="8718" width="11" style="6" customWidth="1"/>
    <col min="8719" max="8960" width="9.140625" style="6"/>
    <col min="8961" max="8961" width="2.140625" style="6" customWidth="1"/>
    <col min="8962" max="8962" width="16.42578125" style="6" customWidth="1"/>
    <col min="8963" max="8972" width="12.5703125" style="6" customWidth="1"/>
    <col min="8973" max="8973" width="9.140625" style="6"/>
    <col min="8974" max="8974" width="11" style="6" customWidth="1"/>
    <col min="8975" max="9216" width="9.140625" style="6"/>
    <col min="9217" max="9217" width="2.140625" style="6" customWidth="1"/>
    <col min="9218" max="9218" width="16.42578125" style="6" customWidth="1"/>
    <col min="9219" max="9228" width="12.5703125" style="6" customWidth="1"/>
    <col min="9229" max="9229" width="9.140625" style="6"/>
    <col min="9230" max="9230" width="11" style="6" customWidth="1"/>
    <col min="9231" max="9472" width="9.140625" style="6"/>
    <col min="9473" max="9473" width="2.140625" style="6" customWidth="1"/>
    <col min="9474" max="9474" width="16.42578125" style="6" customWidth="1"/>
    <col min="9475" max="9484" width="12.5703125" style="6" customWidth="1"/>
    <col min="9485" max="9485" width="9.140625" style="6"/>
    <col min="9486" max="9486" width="11" style="6" customWidth="1"/>
    <col min="9487" max="9728" width="9.140625" style="6"/>
    <col min="9729" max="9729" width="2.140625" style="6" customWidth="1"/>
    <col min="9730" max="9730" width="16.42578125" style="6" customWidth="1"/>
    <col min="9731" max="9740" width="12.5703125" style="6" customWidth="1"/>
    <col min="9741" max="9741" width="9.140625" style="6"/>
    <col min="9742" max="9742" width="11" style="6" customWidth="1"/>
    <col min="9743" max="9984" width="9.140625" style="6"/>
    <col min="9985" max="9985" width="2.140625" style="6" customWidth="1"/>
    <col min="9986" max="9986" width="16.42578125" style="6" customWidth="1"/>
    <col min="9987" max="9996" width="12.5703125" style="6" customWidth="1"/>
    <col min="9997" max="9997" width="9.140625" style="6"/>
    <col min="9998" max="9998" width="11" style="6" customWidth="1"/>
    <col min="9999" max="10240" width="9.140625" style="6"/>
    <col min="10241" max="10241" width="2.140625" style="6" customWidth="1"/>
    <col min="10242" max="10242" width="16.42578125" style="6" customWidth="1"/>
    <col min="10243" max="10252" width="12.5703125" style="6" customWidth="1"/>
    <col min="10253" max="10253" width="9.140625" style="6"/>
    <col min="10254" max="10254" width="11" style="6" customWidth="1"/>
    <col min="10255" max="10496" width="9.140625" style="6"/>
    <col min="10497" max="10497" width="2.140625" style="6" customWidth="1"/>
    <col min="10498" max="10498" width="16.42578125" style="6" customWidth="1"/>
    <col min="10499" max="10508" width="12.5703125" style="6" customWidth="1"/>
    <col min="10509" max="10509" width="9.140625" style="6"/>
    <col min="10510" max="10510" width="11" style="6" customWidth="1"/>
    <col min="10511" max="10752" width="9.140625" style="6"/>
    <col min="10753" max="10753" width="2.140625" style="6" customWidth="1"/>
    <col min="10754" max="10754" width="16.42578125" style="6" customWidth="1"/>
    <col min="10755" max="10764" width="12.5703125" style="6" customWidth="1"/>
    <col min="10765" max="10765" width="9.140625" style="6"/>
    <col min="10766" max="10766" width="11" style="6" customWidth="1"/>
    <col min="10767" max="11008" width="9.140625" style="6"/>
    <col min="11009" max="11009" width="2.140625" style="6" customWidth="1"/>
    <col min="11010" max="11010" width="16.42578125" style="6" customWidth="1"/>
    <col min="11011" max="11020" width="12.5703125" style="6" customWidth="1"/>
    <col min="11021" max="11021" width="9.140625" style="6"/>
    <col min="11022" max="11022" width="11" style="6" customWidth="1"/>
    <col min="11023" max="11264" width="9.140625" style="6"/>
    <col min="11265" max="11265" width="2.140625" style="6" customWidth="1"/>
    <col min="11266" max="11266" width="16.42578125" style="6" customWidth="1"/>
    <col min="11267" max="11276" width="12.5703125" style="6" customWidth="1"/>
    <col min="11277" max="11277" width="9.140625" style="6"/>
    <col min="11278" max="11278" width="11" style="6" customWidth="1"/>
    <col min="11279" max="11520" width="9.140625" style="6"/>
    <col min="11521" max="11521" width="2.140625" style="6" customWidth="1"/>
    <col min="11522" max="11522" width="16.42578125" style="6" customWidth="1"/>
    <col min="11523" max="11532" width="12.5703125" style="6" customWidth="1"/>
    <col min="11533" max="11533" width="9.140625" style="6"/>
    <col min="11534" max="11534" width="11" style="6" customWidth="1"/>
    <col min="11535" max="11776" width="9.140625" style="6"/>
    <col min="11777" max="11777" width="2.140625" style="6" customWidth="1"/>
    <col min="11778" max="11778" width="16.42578125" style="6" customWidth="1"/>
    <col min="11779" max="11788" width="12.5703125" style="6" customWidth="1"/>
    <col min="11789" max="11789" width="9.140625" style="6"/>
    <col min="11790" max="11790" width="11" style="6" customWidth="1"/>
    <col min="11791" max="12032" width="9.140625" style="6"/>
    <col min="12033" max="12033" width="2.140625" style="6" customWidth="1"/>
    <col min="12034" max="12034" width="16.42578125" style="6" customWidth="1"/>
    <col min="12035" max="12044" width="12.5703125" style="6" customWidth="1"/>
    <col min="12045" max="12045" width="9.140625" style="6"/>
    <col min="12046" max="12046" width="11" style="6" customWidth="1"/>
    <col min="12047" max="12288" width="9.140625" style="6"/>
    <col min="12289" max="12289" width="2.140625" style="6" customWidth="1"/>
    <col min="12290" max="12290" width="16.42578125" style="6" customWidth="1"/>
    <col min="12291" max="12300" width="12.5703125" style="6" customWidth="1"/>
    <col min="12301" max="12301" width="9.140625" style="6"/>
    <col min="12302" max="12302" width="11" style="6" customWidth="1"/>
    <col min="12303" max="12544" width="9.140625" style="6"/>
    <col min="12545" max="12545" width="2.140625" style="6" customWidth="1"/>
    <col min="12546" max="12546" width="16.42578125" style="6" customWidth="1"/>
    <col min="12547" max="12556" width="12.5703125" style="6" customWidth="1"/>
    <col min="12557" max="12557" width="9.140625" style="6"/>
    <col min="12558" max="12558" width="11" style="6" customWidth="1"/>
    <col min="12559" max="12800" width="9.140625" style="6"/>
    <col min="12801" max="12801" width="2.140625" style="6" customWidth="1"/>
    <col min="12802" max="12802" width="16.42578125" style="6" customWidth="1"/>
    <col min="12803" max="12812" width="12.5703125" style="6" customWidth="1"/>
    <col min="12813" max="12813" width="9.140625" style="6"/>
    <col min="12814" max="12814" width="11" style="6" customWidth="1"/>
    <col min="12815" max="13056" width="9.140625" style="6"/>
    <col min="13057" max="13057" width="2.140625" style="6" customWidth="1"/>
    <col min="13058" max="13058" width="16.42578125" style="6" customWidth="1"/>
    <col min="13059" max="13068" width="12.5703125" style="6" customWidth="1"/>
    <col min="13069" max="13069" width="9.140625" style="6"/>
    <col min="13070" max="13070" width="11" style="6" customWidth="1"/>
    <col min="13071" max="13312" width="9.140625" style="6"/>
    <col min="13313" max="13313" width="2.140625" style="6" customWidth="1"/>
    <col min="13314" max="13314" width="16.42578125" style="6" customWidth="1"/>
    <col min="13315" max="13324" width="12.5703125" style="6" customWidth="1"/>
    <col min="13325" max="13325" width="9.140625" style="6"/>
    <col min="13326" max="13326" width="11" style="6" customWidth="1"/>
    <col min="13327" max="13568" width="9.140625" style="6"/>
    <col min="13569" max="13569" width="2.140625" style="6" customWidth="1"/>
    <col min="13570" max="13570" width="16.42578125" style="6" customWidth="1"/>
    <col min="13571" max="13580" width="12.5703125" style="6" customWidth="1"/>
    <col min="13581" max="13581" width="9.140625" style="6"/>
    <col min="13582" max="13582" width="11" style="6" customWidth="1"/>
    <col min="13583" max="13824" width="9.140625" style="6"/>
    <col min="13825" max="13825" width="2.140625" style="6" customWidth="1"/>
    <col min="13826" max="13826" width="16.42578125" style="6" customWidth="1"/>
    <col min="13827" max="13836" width="12.5703125" style="6" customWidth="1"/>
    <col min="13837" max="13837" width="9.140625" style="6"/>
    <col min="13838" max="13838" width="11" style="6" customWidth="1"/>
    <col min="13839" max="14080" width="9.140625" style="6"/>
    <col min="14081" max="14081" width="2.140625" style="6" customWidth="1"/>
    <col min="14082" max="14082" width="16.42578125" style="6" customWidth="1"/>
    <col min="14083" max="14092" width="12.5703125" style="6" customWidth="1"/>
    <col min="14093" max="14093" width="9.140625" style="6"/>
    <col min="14094" max="14094" width="11" style="6" customWidth="1"/>
    <col min="14095" max="14336" width="9.140625" style="6"/>
    <col min="14337" max="14337" width="2.140625" style="6" customWidth="1"/>
    <col min="14338" max="14338" width="16.42578125" style="6" customWidth="1"/>
    <col min="14339" max="14348" width="12.5703125" style="6" customWidth="1"/>
    <col min="14349" max="14349" width="9.140625" style="6"/>
    <col min="14350" max="14350" width="11" style="6" customWidth="1"/>
    <col min="14351" max="14592" width="9.140625" style="6"/>
    <col min="14593" max="14593" width="2.140625" style="6" customWidth="1"/>
    <col min="14594" max="14594" width="16.42578125" style="6" customWidth="1"/>
    <col min="14595" max="14604" width="12.5703125" style="6" customWidth="1"/>
    <col min="14605" max="14605" width="9.140625" style="6"/>
    <col min="14606" max="14606" width="11" style="6" customWidth="1"/>
    <col min="14607" max="14848" width="9.140625" style="6"/>
    <col min="14849" max="14849" width="2.140625" style="6" customWidth="1"/>
    <col min="14850" max="14850" width="16.42578125" style="6" customWidth="1"/>
    <col min="14851" max="14860" width="12.5703125" style="6" customWidth="1"/>
    <col min="14861" max="14861" width="9.140625" style="6"/>
    <col min="14862" max="14862" width="11" style="6" customWidth="1"/>
    <col min="14863" max="15104" width="9.140625" style="6"/>
    <col min="15105" max="15105" width="2.140625" style="6" customWidth="1"/>
    <col min="15106" max="15106" width="16.42578125" style="6" customWidth="1"/>
    <col min="15107" max="15116" width="12.5703125" style="6" customWidth="1"/>
    <col min="15117" max="15117" width="9.140625" style="6"/>
    <col min="15118" max="15118" width="11" style="6" customWidth="1"/>
    <col min="15119" max="15360" width="9.140625" style="6"/>
    <col min="15361" max="15361" width="2.140625" style="6" customWidth="1"/>
    <col min="15362" max="15362" width="16.42578125" style="6" customWidth="1"/>
    <col min="15363" max="15372" width="12.5703125" style="6" customWidth="1"/>
    <col min="15373" max="15373" width="9.140625" style="6"/>
    <col min="15374" max="15374" width="11" style="6" customWidth="1"/>
    <col min="15375" max="15616" width="9.140625" style="6"/>
    <col min="15617" max="15617" width="2.140625" style="6" customWidth="1"/>
    <col min="15618" max="15618" width="16.42578125" style="6" customWidth="1"/>
    <col min="15619" max="15628" width="12.5703125" style="6" customWidth="1"/>
    <col min="15629" max="15629" width="9.140625" style="6"/>
    <col min="15630" max="15630" width="11" style="6" customWidth="1"/>
    <col min="15631" max="15872" width="9.140625" style="6"/>
    <col min="15873" max="15873" width="2.140625" style="6" customWidth="1"/>
    <col min="15874" max="15874" width="16.42578125" style="6" customWidth="1"/>
    <col min="15875" max="15884" width="12.5703125" style="6" customWidth="1"/>
    <col min="15885" max="15885" width="9.140625" style="6"/>
    <col min="15886" max="15886" width="11" style="6" customWidth="1"/>
    <col min="15887" max="16128" width="9.140625" style="6"/>
    <col min="16129" max="16129" width="2.140625" style="6" customWidth="1"/>
    <col min="16130" max="16130" width="16.42578125" style="6" customWidth="1"/>
    <col min="16131" max="16140" width="12.5703125" style="6" customWidth="1"/>
    <col min="16141" max="16141" width="9.140625" style="6"/>
    <col min="16142" max="16142" width="11" style="6" customWidth="1"/>
    <col min="16143" max="16384" width="9.140625" style="6"/>
  </cols>
  <sheetData>
    <row r="1" spans="1:15" ht="15" x14ac:dyDescent="0.25">
      <c r="A1" s="1"/>
      <c r="B1" s="2"/>
      <c r="C1" s="3"/>
      <c r="D1" s="2"/>
      <c r="E1" s="4"/>
      <c r="F1" s="5"/>
      <c r="G1" s="4"/>
      <c r="H1" s="4"/>
      <c r="I1" s="4"/>
      <c r="J1" s="4"/>
      <c r="K1" s="4"/>
      <c r="L1" s="4"/>
    </row>
    <row r="2" spans="1:15" ht="13.5" thickBot="1" x14ac:dyDescent="0.25">
      <c r="A2" s="7"/>
      <c r="B2" s="8" t="str">
        <f>[1]Input!B4</f>
        <v>Rev  R Minister</v>
      </c>
      <c r="C2" s="9" t="str">
        <f>+[1]Input!D4</f>
        <v>Senior Pastor</v>
      </c>
      <c r="F2" s="10" t="s">
        <v>0</v>
      </c>
      <c r="G2" s="11">
        <f>+[1]Input!C4</f>
        <v>789654321</v>
      </c>
    </row>
    <row r="3" spans="1:15" ht="25.5" customHeight="1" x14ac:dyDescent="0.25">
      <c r="A3" s="7"/>
      <c r="B3" s="80" t="s">
        <v>1</v>
      </c>
      <c r="C3" s="81"/>
      <c r="D3" s="81"/>
      <c r="E3" s="81"/>
      <c r="F3" s="81"/>
      <c r="G3" s="81"/>
      <c r="H3" s="81"/>
      <c r="I3" s="81"/>
      <c r="J3" s="81"/>
      <c r="K3" s="81"/>
      <c r="L3" s="82"/>
    </row>
    <row r="4" spans="1:15" ht="25.5" customHeight="1" x14ac:dyDescent="0.25">
      <c r="A4" s="7"/>
      <c r="B4" s="83" t="s">
        <v>2</v>
      </c>
      <c r="C4" s="84"/>
      <c r="D4" s="84"/>
      <c r="E4" s="84"/>
      <c r="F4" s="84"/>
      <c r="G4" s="84"/>
      <c r="H4" s="84"/>
      <c r="I4" s="84"/>
      <c r="J4" s="84"/>
      <c r="K4" s="84"/>
      <c r="L4" s="85"/>
    </row>
    <row r="5" spans="1:15" ht="26.25" customHeight="1" x14ac:dyDescent="0.25">
      <c r="A5" s="7"/>
      <c r="B5" s="83" t="s">
        <v>3</v>
      </c>
      <c r="C5" s="84"/>
      <c r="D5" s="84"/>
      <c r="E5" s="84"/>
      <c r="F5" s="84"/>
      <c r="G5" s="84"/>
      <c r="H5" s="84"/>
      <c r="I5" s="84"/>
      <c r="J5" s="84"/>
      <c r="K5" s="84"/>
      <c r="L5" s="85"/>
    </row>
    <row r="6" spans="1:15" ht="15" x14ac:dyDescent="0.25">
      <c r="A6" s="7"/>
      <c r="B6" s="12"/>
      <c r="D6" s="13" t="s">
        <v>4</v>
      </c>
      <c r="E6" s="13"/>
      <c r="F6" s="6"/>
      <c r="I6" s="6"/>
      <c r="J6" s="6"/>
      <c r="L6" s="14"/>
    </row>
    <row r="7" spans="1:15" ht="15.75" thickBot="1" x14ac:dyDescent="0.3">
      <c r="A7" s="7"/>
      <c r="B7" s="12"/>
      <c r="D7" s="13"/>
      <c r="E7" s="13"/>
      <c r="F7" s="6"/>
      <c r="I7" s="15" t="s">
        <v>5</v>
      </c>
      <c r="J7" s="16" t="s">
        <v>6</v>
      </c>
      <c r="L7" s="14"/>
    </row>
    <row r="8" spans="1:15" ht="13.5" thickBot="1" x14ac:dyDescent="0.25">
      <c r="A8" s="7"/>
      <c r="B8" s="17" t="s">
        <v>7</v>
      </c>
      <c r="C8" s="86" t="s">
        <v>8</v>
      </c>
      <c r="D8" s="87"/>
      <c r="E8" s="87"/>
      <c r="F8" s="87"/>
      <c r="G8" s="87"/>
      <c r="H8" s="18">
        <v>1</v>
      </c>
      <c r="I8" s="19">
        <v>48000</v>
      </c>
      <c r="J8" s="19">
        <v>51000</v>
      </c>
      <c r="L8" s="14"/>
      <c r="N8" s="20"/>
      <c r="O8" s="19"/>
    </row>
    <row r="9" spans="1:15" ht="13.5" thickBot="1" x14ac:dyDescent="0.25">
      <c r="A9" s="7"/>
      <c r="B9" s="17" t="s">
        <v>9</v>
      </c>
      <c r="E9" s="21"/>
      <c r="F9" s="6"/>
      <c r="G9" s="6"/>
      <c r="H9" s="6"/>
      <c r="I9" s="19">
        <v>27000</v>
      </c>
      <c r="J9" s="19">
        <v>28000</v>
      </c>
      <c r="K9" s="22" t="s">
        <v>10</v>
      </c>
      <c r="L9" s="14"/>
    </row>
    <row r="10" spans="1:15" ht="13.5" thickBot="1" x14ac:dyDescent="0.25">
      <c r="A10" s="7"/>
      <c r="B10" s="23"/>
      <c r="E10" s="24"/>
      <c r="F10" s="25"/>
      <c r="G10" s="25"/>
      <c r="H10" s="25"/>
      <c r="I10" s="26"/>
      <c r="J10" s="26"/>
      <c r="K10" s="27" t="s">
        <v>11</v>
      </c>
      <c r="L10" s="14"/>
      <c r="O10" s="28"/>
    </row>
    <row r="11" spans="1:15" ht="13.5" thickBot="1" x14ac:dyDescent="0.25">
      <c r="A11" s="7"/>
      <c r="B11" s="17" t="s">
        <v>12</v>
      </c>
      <c r="F11" s="6"/>
      <c r="G11" s="6"/>
      <c r="H11" s="6"/>
      <c r="I11" s="29">
        <f>+I9+I8</f>
        <v>75000</v>
      </c>
      <c r="J11" s="29">
        <f>+J9+J8</f>
        <v>79000</v>
      </c>
      <c r="L11" s="14"/>
    </row>
    <row r="12" spans="1:15" ht="13.5" thickBot="1" x14ac:dyDescent="0.25">
      <c r="A12" s="7"/>
      <c r="B12" s="17" t="s">
        <v>13</v>
      </c>
      <c r="F12" s="6"/>
      <c r="G12" s="6"/>
      <c r="H12" s="6"/>
      <c r="I12" s="19">
        <v>960</v>
      </c>
      <c r="J12" s="19">
        <f>+I12</f>
        <v>960</v>
      </c>
      <c r="K12" s="30" t="s">
        <v>14</v>
      </c>
      <c r="L12" s="14"/>
    </row>
    <row r="13" spans="1:15" x14ac:dyDescent="0.2">
      <c r="A13" s="7"/>
      <c r="B13" s="17"/>
      <c r="C13" s="31"/>
      <c r="D13" s="31"/>
      <c r="F13" s="6"/>
      <c r="G13" s="6"/>
      <c r="H13" s="32"/>
      <c r="I13" s="19"/>
      <c r="J13" s="19"/>
      <c r="K13" s="21"/>
      <c r="L13" s="14"/>
    </row>
    <row r="14" spans="1:15" ht="13.5" thickBot="1" x14ac:dyDescent="0.25">
      <c r="A14" s="7"/>
      <c r="B14" s="17" t="s">
        <v>15</v>
      </c>
      <c r="H14" s="21"/>
      <c r="L14" s="14"/>
    </row>
    <row r="15" spans="1:15" ht="13.5" thickBot="1" x14ac:dyDescent="0.25">
      <c r="A15" s="7"/>
      <c r="B15" s="33" t="str">
        <f>+[1]Input!F2</f>
        <v>Month of induction / service anniversary</v>
      </c>
      <c r="C15" s="34"/>
      <c r="D15" s="34"/>
      <c r="E15" s="35" t="str">
        <f>+[1]Input!F4</f>
        <v>September</v>
      </c>
      <c r="F15" s="6"/>
      <c r="G15" s="36"/>
      <c r="I15" s="37" t="s">
        <v>16</v>
      </c>
      <c r="J15" s="38">
        <f>+[1]Input!H12</f>
        <v>0.08</v>
      </c>
      <c r="K15" s="6"/>
      <c r="L15" s="39"/>
    </row>
    <row r="16" spans="1:15" ht="13.5" thickBot="1" x14ac:dyDescent="0.25">
      <c r="A16" s="7"/>
      <c r="B16" s="33" t="str">
        <f>+[1]Input!E2</f>
        <v>Living in manse or receiving cash allowance</v>
      </c>
      <c r="C16" s="34"/>
      <c r="D16" s="34"/>
      <c r="E16" s="35" t="str">
        <f>+[1]Input!E4</f>
        <v>Manse</v>
      </c>
      <c r="F16" s="40"/>
      <c r="G16" s="40"/>
      <c r="H16" s="41" t="str">
        <f>+[1]Input!G4</f>
        <v>Yes</v>
      </c>
      <c r="I16" s="42" t="str">
        <f>+[1]Input!H4</f>
        <v>Yes</v>
      </c>
      <c r="J16" s="35" t="str">
        <f>+[1]Input!I4</f>
        <v>No</v>
      </c>
      <c r="K16" s="43"/>
      <c r="L16" s="44"/>
    </row>
    <row r="17" spans="1:16" s="51" customFormat="1" ht="25.5" customHeight="1" x14ac:dyDescent="0.25">
      <c r="A17" s="45"/>
      <c r="B17" s="46"/>
      <c r="C17" s="47" t="s">
        <v>17</v>
      </c>
      <c r="D17" s="47" t="s">
        <v>18</v>
      </c>
      <c r="E17" s="47" t="s">
        <v>19</v>
      </c>
      <c r="F17" s="48" t="s">
        <v>20</v>
      </c>
      <c r="G17" s="48" t="s">
        <v>21</v>
      </c>
      <c r="H17" s="47" t="s">
        <v>22</v>
      </c>
      <c r="I17" s="47" t="s">
        <v>23</v>
      </c>
      <c r="J17" s="47" t="s">
        <v>24</v>
      </c>
      <c r="K17" s="48" t="s">
        <v>25</v>
      </c>
      <c r="L17" s="47" t="s">
        <v>26</v>
      </c>
      <c r="M17" s="49" t="s">
        <v>27</v>
      </c>
      <c r="N17" s="50" t="s">
        <v>28</v>
      </c>
      <c r="O17" s="49"/>
      <c r="P17" s="49"/>
    </row>
    <row r="18" spans="1:16" x14ac:dyDescent="0.2">
      <c r="A18" s="7"/>
      <c r="B18" s="32"/>
      <c r="C18" s="36" t="s">
        <v>29</v>
      </c>
      <c r="D18" s="36" t="s">
        <v>29</v>
      </c>
      <c r="E18" s="36" t="s">
        <v>29</v>
      </c>
      <c r="F18" s="36" t="s">
        <v>29</v>
      </c>
      <c r="G18" s="36" t="s">
        <v>29</v>
      </c>
      <c r="H18" s="36" t="s">
        <v>29</v>
      </c>
      <c r="I18" s="36" t="s">
        <v>29</v>
      </c>
      <c r="J18" s="36" t="s">
        <v>29</v>
      </c>
      <c r="K18" s="36" t="s">
        <v>29</v>
      </c>
      <c r="L18" s="36" t="s">
        <v>29</v>
      </c>
    </row>
    <row r="19" spans="1:16" x14ac:dyDescent="0.2">
      <c r="A19" s="7"/>
      <c r="B19" s="9" t="s">
        <v>5</v>
      </c>
      <c r="C19" s="32">
        <f>ROUND((I$8*H$8)/12,2)</f>
        <v>4000</v>
      </c>
      <c r="D19" s="32">
        <f>IF(E$16="Manse",0,ROUND(I$9*H$8/12,2))</f>
        <v>0</v>
      </c>
      <c r="E19" s="32">
        <f>IF(C19=0,0,IF(C19&lt;(3500/12),0,+ROUND((C19+I12*H$8/12-((3500)/12))*[1]Input!C58,2)))</f>
        <v>215.94</v>
      </c>
      <c r="F19" s="32">
        <f>+ROUND((C19+((I$12+I$9)/12))*[1]Input!B$58,2)</f>
        <v>100.01</v>
      </c>
      <c r="G19" s="52">
        <f>295.8+156.21</f>
        <v>452.01</v>
      </c>
      <c r="H19" s="32">
        <f>IF(H$16="yes",IF(C19*12*1.6&gt;=L$35,ROUND(H$35*H$8/12,2),ROUND(C19*1.6*[1]Input!B$63,2)),0)</f>
        <v>505.6</v>
      </c>
      <c r="I19" s="32">
        <f>IF(I$16="yes",IF(C19*12*1.6&gt;=L$35,ROUND(I$35*H$8/12,2),ROUND(C19*1.6*[1]Input!B$65*(1+J$15),2)),0)</f>
        <v>150.16</v>
      </c>
      <c r="J19" s="52">
        <v>0</v>
      </c>
      <c r="K19" s="32">
        <f>SUM(E19:J19)</f>
        <v>1423.72</v>
      </c>
      <c r="L19" s="32">
        <f>C19+D19-K19</f>
        <v>2576.2799999999997</v>
      </c>
      <c r="M19" s="53">
        <f>ROUND(+I$12/12*H8,2)</f>
        <v>80</v>
      </c>
      <c r="N19" s="53">
        <f>+M19+L19</f>
        <v>2656.2799999999997</v>
      </c>
      <c r="O19" s="53"/>
      <c r="P19" s="53"/>
    </row>
    <row r="20" spans="1:16" x14ac:dyDescent="0.2">
      <c r="A20" s="7"/>
      <c r="B20" s="9" t="s">
        <v>30</v>
      </c>
      <c r="C20" s="32">
        <f>IF($E$15&lt;&gt;B20,C19,ROUND((J$8*H$8)/12,2))</f>
        <v>4000</v>
      </c>
      <c r="D20" s="32">
        <f>IF(E$16="Manse",0,IF($E$15&lt;&gt;B20,D19,ROUND(J$9*H$8/12,2)))</f>
        <v>0</v>
      </c>
      <c r="E20" s="32">
        <f>IF(C20=0,0,IF(C20&lt;3500/12,0,IF((SUM(E$19:E19)+ROUND((C20+M20*H$8-((3500)/12))*[1]Input!C$58,2))&lt;=E$35,ROUND(((C20+M20)-((3500)/12))*[1]Input!C$58,2),E$35-SUM(E$19:E19))))</f>
        <v>215.94</v>
      </c>
      <c r="F20" s="32">
        <f>IF((SUM(F$19:F19)+ROUND((C20+((I$12+I$9)/12))*[1]Input!B$58,2))&lt;=F$35,ROUND((C20+((I$12+I$9)/12))*[1]Input!B$58,2),F$35-SUM(F$19:F19))</f>
        <v>100.01</v>
      </c>
      <c r="G20" s="32">
        <f>+G19</f>
        <v>452.01</v>
      </c>
      <c r="H20" s="32">
        <f>IF(H$16="yes",IF(C20*12*1.6&gt;=L$35,ROUND(H$35*H$8/12,2),ROUND(C20*1.6*[1]Input!B$63,2)),0)</f>
        <v>505.6</v>
      </c>
      <c r="I20" s="32">
        <f>IF(I$16="yes",IF(C20*12*1.6&gt;=L$35,ROUND(I$35*H$8/12,2),ROUND(C20*1.6*[1]Input!B$65*(1+J$15),2)),0)</f>
        <v>150.16</v>
      </c>
      <c r="J20" s="52">
        <v>0</v>
      </c>
      <c r="K20" s="32">
        <f t="shared" ref="K20:K30" si="0">SUM(E20:J20)</f>
        <v>1423.72</v>
      </c>
      <c r="L20" s="32">
        <f t="shared" ref="L20:L30" si="1">C20+D20-K20</f>
        <v>2576.2799999999997</v>
      </c>
      <c r="M20" s="53">
        <f>IF($E$15&lt;&gt;B20,M19,ROUND((J$12*H$8)/12,2))</f>
        <v>80</v>
      </c>
      <c r="N20" s="53">
        <f t="shared" ref="N20:N30" si="2">+M20+L20</f>
        <v>2656.2799999999997</v>
      </c>
      <c r="O20" s="53"/>
      <c r="P20" s="53"/>
    </row>
    <row r="21" spans="1:16" x14ac:dyDescent="0.2">
      <c r="A21" s="7"/>
      <c r="B21" s="9" t="s">
        <v>31</v>
      </c>
      <c r="C21" s="32">
        <f t="shared" ref="C21:C30" si="3">IF($E$15&lt;&gt;B21,C20,ROUND((J$8*H$8)/12,2))</f>
        <v>4000</v>
      </c>
      <c r="D21" s="32">
        <f t="shared" ref="D21:D30" si="4">IF(E$16="Manse",0,IF($E$15&lt;&gt;B21,D20,ROUND(J$9*H$8/12,2)))</f>
        <v>0</v>
      </c>
      <c r="E21" s="32">
        <f>IF(C21=0,0,IF(C21&lt;3500/12,0,IF((SUM(E$19:E20)+ROUND((C21+M21*H$8-((3500)/12))*[1]Input!C$58,2))&lt;=E$35,ROUND(((C21+M21)-((3500)/12))*[1]Input!C$58,2),E$35-SUM(E$19:E20))))</f>
        <v>215.94</v>
      </c>
      <c r="F21" s="32">
        <f>IF((SUM(F$19:F20)+ROUND((C21+((I$12+I$9)/12))*[1]Input!B$58,2))&lt;=F$35,ROUND((C21+((I$12+I$9)/12))*[1]Input!B$58,2),F$35-SUM(F$19:F20))</f>
        <v>100.01</v>
      </c>
      <c r="G21" s="32">
        <f t="shared" ref="G21:G30" si="5">+G20</f>
        <v>452.01</v>
      </c>
      <c r="H21" s="32">
        <f>IF(H$16="yes",IF(C21*12*1.6&gt;=L$35,ROUND(H$35*H$8/12,2),ROUND(C21*1.6*[1]Input!B$63,2)),0)</f>
        <v>505.6</v>
      </c>
      <c r="I21" s="32">
        <f>IF(I$16="yes",IF(C21*12*1.6&gt;=L$35,ROUND(I$35*H$8/12,2),ROUND(C21*1.6*[1]Input!B$65*(1+J$15),2)),0)</f>
        <v>150.16</v>
      </c>
      <c r="J21" s="52">
        <v>0</v>
      </c>
      <c r="K21" s="32">
        <f t="shared" si="0"/>
        <v>1423.72</v>
      </c>
      <c r="L21" s="32">
        <f t="shared" si="1"/>
        <v>2576.2799999999997</v>
      </c>
      <c r="M21" s="53">
        <f t="shared" ref="M21:M30" si="6">IF($E$15&lt;&gt;B21,M20,ROUND((J$12*H$8)/12,2))</f>
        <v>80</v>
      </c>
      <c r="N21" s="53">
        <f t="shared" si="2"/>
        <v>2656.2799999999997</v>
      </c>
      <c r="O21" s="53"/>
      <c r="P21" s="53"/>
    </row>
    <row r="22" spans="1:16" x14ac:dyDescent="0.2">
      <c r="A22" s="7"/>
      <c r="B22" s="31" t="s">
        <v>32</v>
      </c>
      <c r="C22" s="32">
        <f t="shared" si="3"/>
        <v>4000</v>
      </c>
      <c r="D22" s="32">
        <f t="shared" si="4"/>
        <v>0</v>
      </c>
      <c r="E22" s="32">
        <f>IF(C22=0,0,IF(C22&lt;3500/12,0,IF((SUM(E$19:E21)+ROUND((C22+M22*H$8-((3500)/12))*[1]Input!C$58,2))&lt;=E$35,ROUND(((C22+M22)-((3500)/12))*[1]Input!C$58,2),E$35-SUM(E$19:E21))))</f>
        <v>215.94</v>
      </c>
      <c r="F22" s="32">
        <f>IF((SUM(F$19:F21)+ROUND((C22+((I$12+I$9)/12))*[1]Input!B$58,2))&lt;=F$35,ROUND((C22+((I$12+I$9)/12))*[1]Input!B$58,2),F$35-SUM(F$19:F21))</f>
        <v>100.01</v>
      </c>
      <c r="G22" s="32">
        <f t="shared" si="5"/>
        <v>452.01</v>
      </c>
      <c r="H22" s="32">
        <f>IF(H$16="yes",IF(C22*12*1.6&gt;=L$35,ROUND(H$35*H$8/12,2),ROUND(C22*1.6*[1]Input!B$63,2)),0)</f>
        <v>505.6</v>
      </c>
      <c r="I22" s="32">
        <f>IF(I$16="yes",IF(C22*12*1.6&gt;=L$35,ROUND(I$35*H$8/12,2),ROUND(C22*1.6*[1]Input!B$65*(1+J$15),2)),0)</f>
        <v>150.16</v>
      </c>
      <c r="J22" s="52">
        <v>0</v>
      </c>
      <c r="K22" s="32">
        <f t="shared" si="0"/>
        <v>1423.72</v>
      </c>
      <c r="L22" s="32">
        <f t="shared" si="1"/>
        <v>2576.2799999999997</v>
      </c>
      <c r="M22" s="53">
        <f t="shared" si="6"/>
        <v>80</v>
      </c>
      <c r="N22" s="53">
        <f t="shared" si="2"/>
        <v>2656.2799999999997</v>
      </c>
      <c r="O22" s="16"/>
      <c r="P22" s="54"/>
    </row>
    <row r="23" spans="1:16" x14ac:dyDescent="0.2">
      <c r="A23" s="7"/>
      <c r="B23" s="31" t="s">
        <v>33</v>
      </c>
      <c r="C23" s="32">
        <f>IF($E$15&lt;&gt;B23,C22,ROUND((J$8*H$8)/12,2))</f>
        <v>4000</v>
      </c>
      <c r="D23" s="32">
        <f t="shared" si="4"/>
        <v>0</v>
      </c>
      <c r="E23" s="32">
        <f>IF(C23=0,0,IF(C23&lt;3500/12,0,IF((SUM(E$19:E22)+ROUND((C23+M23*H$8-((3500)/12))*[1]Input!C$58,2))&lt;=E$35,ROUND(((C23+M23)-((3500)/12))*[1]Input!C$58,2),E$35-SUM(E$19:E22))))</f>
        <v>215.94</v>
      </c>
      <c r="F23" s="32">
        <f>IF((SUM(F$19:F22)+ROUND((C23+((I$12+I$9)/12))*[1]Input!B$58,2))&lt;=F$35,ROUND((C23+((I$12+I$9)/12))*[1]Input!B$58,2),F$35-SUM(F$19:F22))</f>
        <v>100.01</v>
      </c>
      <c r="G23" s="32">
        <f t="shared" si="5"/>
        <v>452.01</v>
      </c>
      <c r="H23" s="32">
        <f>IF(H$16="yes",IF(C23*12*1.6&gt;=L$35,ROUND(H$35*H$8/12,2),ROUND(C23*1.6*[1]Input!B$63,2)),0)</f>
        <v>505.6</v>
      </c>
      <c r="I23" s="32">
        <f>IF(I$16="yes",IF(C23*12*1.6&gt;=L$35,ROUND(I$35*H$8/12,2),ROUND(C23*1.6*[1]Input!B$65*(1+J$15),2)),0)</f>
        <v>150.16</v>
      </c>
      <c r="J23" s="52">
        <v>0</v>
      </c>
      <c r="K23" s="32">
        <f t="shared" si="0"/>
        <v>1423.72</v>
      </c>
      <c r="L23" s="32">
        <f t="shared" si="1"/>
        <v>2576.2799999999997</v>
      </c>
      <c r="M23" s="53">
        <f t="shared" si="6"/>
        <v>80</v>
      </c>
      <c r="N23" s="53">
        <f t="shared" si="2"/>
        <v>2656.2799999999997</v>
      </c>
      <c r="O23" s="16"/>
      <c r="P23" s="31"/>
    </row>
    <row r="24" spans="1:16" x14ac:dyDescent="0.2">
      <c r="A24" s="7"/>
      <c r="B24" s="9" t="s">
        <v>34</v>
      </c>
      <c r="C24" s="32">
        <f t="shared" si="3"/>
        <v>4000</v>
      </c>
      <c r="D24" s="32">
        <f t="shared" si="4"/>
        <v>0</v>
      </c>
      <c r="E24" s="32">
        <f>IF(C24=0,0,IF(C24&lt;3500/12,0,IF((SUM(E$19:E23)+ROUND((C24+M24*H$8-((3500)/12))*[1]Input!C$58,2))&lt;=E$35,ROUND(((C24+M24)-((3500)/12))*[1]Input!C$58,2),E$35-SUM(E$19:E23))))</f>
        <v>215.94</v>
      </c>
      <c r="F24" s="32">
        <f>IF((SUM(F$19:F23)+ROUND((C24+((I$12+I$9)/12))*[1]Input!B$58,2))&lt;=F$35,ROUND((C24+((I$12+I$9)/12))*[1]Input!B$58,2),F$35-SUM(F$19:F23))</f>
        <v>100.01</v>
      </c>
      <c r="G24" s="32">
        <f t="shared" si="5"/>
        <v>452.01</v>
      </c>
      <c r="H24" s="32">
        <f>IF(H$16="yes",IF(C24*12*1.6&gt;=L$35,ROUND(H$35*H$8/12,2),ROUND(C24*1.6*[1]Input!B$63,2)),0)</f>
        <v>505.6</v>
      </c>
      <c r="I24" s="32">
        <f>IF(I$16="yes",IF(C24*12*1.6&gt;=L$35,ROUND(I$35*H$8/12,2),ROUND(C24*1.6*[1]Input!B$65*(1+J$15),2)),0)</f>
        <v>150.16</v>
      </c>
      <c r="J24" s="52">
        <v>0</v>
      </c>
      <c r="K24" s="32">
        <f t="shared" si="0"/>
        <v>1423.72</v>
      </c>
      <c r="L24" s="32">
        <f t="shared" si="1"/>
        <v>2576.2799999999997</v>
      </c>
      <c r="M24" s="53">
        <f t="shared" si="6"/>
        <v>80</v>
      </c>
      <c r="N24" s="53">
        <f t="shared" si="2"/>
        <v>2656.2799999999997</v>
      </c>
      <c r="O24" s="16"/>
      <c r="P24" s="9"/>
    </row>
    <row r="25" spans="1:16" x14ac:dyDescent="0.2">
      <c r="A25" s="7"/>
      <c r="B25" s="9" t="s">
        <v>35</v>
      </c>
      <c r="C25" s="32">
        <f t="shared" si="3"/>
        <v>4000</v>
      </c>
      <c r="D25" s="32">
        <f t="shared" si="4"/>
        <v>0</v>
      </c>
      <c r="E25" s="32">
        <f>IF(C25=0,0,IF(C25&lt;3500/12,0,IF((SUM(E$19:E24)+ROUND((C25+M25*H$8-((3500)/12))*[1]Input!C$58,2))&lt;=E$35,ROUND(((C25+M25)-((3500)/12))*[1]Input!C$58,2),E$35-SUM(E$19:E24))))</f>
        <v>215.94</v>
      </c>
      <c r="F25" s="32">
        <f>IF((SUM(F$19:F24)+ROUND((C25+((I$12+I$9)/12))*[1]Input!B$58,2))&lt;=F$35,ROUND((C25+((I$12+I$9)/12))*[1]Input!B$58,2),F$35-SUM(F$19:F24))</f>
        <v>100.01</v>
      </c>
      <c r="G25" s="32">
        <f t="shared" si="5"/>
        <v>452.01</v>
      </c>
      <c r="H25" s="32">
        <f>IF(H$16="yes",IF(C25*12*1.6&gt;=L$35,ROUND(H$35*H$8/12,2),ROUND(C25*1.6*[1]Input!B$63,2)),0)</f>
        <v>505.6</v>
      </c>
      <c r="I25" s="32">
        <f>IF(I$16="yes",IF(C25*12*1.6&gt;=L$35,ROUND(I$35*H$8/12,2),ROUND(C25*1.6*[1]Input!B$65*(1+J$15),2)),0)</f>
        <v>150.16</v>
      </c>
      <c r="J25" s="52">
        <v>0</v>
      </c>
      <c r="K25" s="32">
        <f t="shared" si="0"/>
        <v>1423.72</v>
      </c>
      <c r="L25" s="32">
        <f t="shared" si="1"/>
        <v>2576.2799999999997</v>
      </c>
      <c r="M25" s="53">
        <f t="shared" si="6"/>
        <v>80</v>
      </c>
      <c r="N25" s="53">
        <f t="shared" si="2"/>
        <v>2656.2799999999997</v>
      </c>
      <c r="O25" s="16"/>
      <c r="P25" s="53"/>
    </row>
    <row r="26" spans="1:16" x14ac:dyDescent="0.2">
      <c r="A26" s="7"/>
      <c r="B26" s="9" t="s">
        <v>36</v>
      </c>
      <c r="C26" s="32">
        <f t="shared" si="3"/>
        <v>4000</v>
      </c>
      <c r="D26" s="32">
        <f t="shared" si="4"/>
        <v>0</v>
      </c>
      <c r="E26" s="32">
        <f>IF(C26=0,0,IF(C26&lt;3500/12,0,IF((SUM(E$19:E25)+ROUND((C26+M26*H$8-((3500)/12))*[1]Input!C$58,2))&lt;=E$35,ROUND(((C26+M26)-((3500)/12))*[1]Input!C$58,2),E$35-SUM(E$19:E25))))</f>
        <v>215.94</v>
      </c>
      <c r="F26" s="32">
        <f>IF((SUM(F$19:F25)+ROUND((C26+((I$12+I$9)/12))*[1]Input!B$58,2))&lt;=F$35,ROUND((C26+((I$12+I$9)/12))*[1]Input!B$58,2),F$35-SUM(F$19:F25))</f>
        <v>100.01</v>
      </c>
      <c r="G26" s="32">
        <f t="shared" si="5"/>
        <v>452.01</v>
      </c>
      <c r="H26" s="32">
        <f>IF(H$16="yes",IF(C26*12*1.6&gt;=L$35,ROUND(H$35*H$8/12,2),ROUND(C26*1.6*[1]Input!B$63,2)),0)</f>
        <v>505.6</v>
      </c>
      <c r="I26" s="32">
        <f>IF(I$16="yes",IF(C26*12*1.6&gt;=L$35,ROUND(I$35*H$8/12,2),ROUND(C26*1.6*[1]Input!B$65*(1+J$15),2)),0)</f>
        <v>150.16</v>
      </c>
      <c r="J26" s="52">
        <v>0</v>
      </c>
      <c r="K26" s="32">
        <f t="shared" si="0"/>
        <v>1423.72</v>
      </c>
      <c r="L26" s="32">
        <f t="shared" si="1"/>
        <v>2576.2799999999997</v>
      </c>
      <c r="M26" s="53">
        <f t="shared" si="6"/>
        <v>80</v>
      </c>
      <c r="N26" s="53">
        <f t="shared" si="2"/>
        <v>2656.2799999999997</v>
      </c>
      <c r="O26" s="16"/>
      <c r="P26" s="55"/>
    </row>
    <row r="27" spans="1:16" x14ac:dyDescent="0.2">
      <c r="A27" s="7"/>
      <c r="B27" s="9" t="s">
        <v>37</v>
      </c>
      <c r="C27" s="32">
        <f t="shared" si="3"/>
        <v>4250</v>
      </c>
      <c r="D27" s="32">
        <f t="shared" si="4"/>
        <v>0</v>
      </c>
      <c r="E27" s="32">
        <f>IF(C27=0,0,IF(C27&lt;3500/12,0,IF((SUM(E$19:E26)+ROUND((C27+M27*H$8-((3500)/12))*[1]Input!C$58,2))&lt;=E$35,ROUND(((C27+M27)-((3500)/12))*[1]Input!C$58,2),E$35-SUM(E$19:E26))))</f>
        <v>230.19</v>
      </c>
      <c r="F27" s="32">
        <f>IF((SUM(F$19:F26)+ROUND((C27+((I$12+I$9)/12))*[1]Input!B$58,2))&lt;=F$35,ROUND((C27+((I$12+I$9)/12))*[1]Input!B$58,2),F$35-SUM(F$19:F26))</f>
        <v>103.96</v>
      </c>
      <c r="G27" s="32">
        <f t="shared" si="5"/>
        <v>452.01</v>
      </c>
      <c r="H27" s="32">
        <f>IF(H$16="yes",IF(C27*12*1.6&gt;=L$35,ROUND(H$35*H$8/12,2),ROUND(C27*1.6*[1]Input!B$63,2)),0)</f>
        <v>505.6</v>
      </c>
      <c r="I27" s="32">
        <f>IF(I$16="yes",IF(C27*12*1.6&gt;=L$35,ROUND(I$35*H$8/12,2),ROUND(C27*1.6*[1]Input!B$65*(1+J$15),2)),0)</f>
        <v>150.16</v>
      </c>
      <c r="J27" s="52">
        <v>0</v>
      </c>
      <c r="K27" s="32">
        <f t="shared" si="0"/>
        <v>1441.92</v>
      </c>
      <c r="L27" s="32">
        <f t="shared" si="1"/>
        <v>2808.08</v>
      </c>
      <c r="M27" s="53">
        <f t="shared" si="6"/>
        <v>80</v>
      </c>
      <c r="N27" s="53">
        <f t="shared" si="2"/>
        <v>2888.08</v>
      </c>
      <c r="O27" s="16"/>
      <c r="P27" s="55"/>
    </row>
    <row r="28" spans="1:16" x14ac:dyDescent="0.2">
      <c r="A28" s="7"/>
      <c r="B28" s="9" t="s">
        <v>38</v>
      </c>
      <c r="C28" s="32">
        <f t="shared" si="3"/>
        <v>4250</v>
      </c>
      <c r="D28" s="32">
        <f t="shared" si="4"/>
        <v>0</v>
      </c>
      <c r="E28" s="32">
        <f>IF(C28=0,0,IF(C28&lt;3500/12,0,IF((SUM(E$19:E27)+ROUND((C28+M28*H$8-((3500)/12))*[1]Input!C$58,2))&lt;=E$35,ROUND(((C28+M28)-((3500)/12))*[1]Input!C$58,2),E$35-SUM(E$19:E27))))</f>
        <v>230.19</v>
      </c>
      <c r="F28" s="32">
        <f>IF((SUM(F$19:F27)+ROUND((C28+((I$12+I$9)/12))*[1]Input!B$58,2))&lt;=F$35,ROUND((C28+((I$12+I$9)/12))*[1]Input!B$58,2),F$35-SUM(F$19:F27))</f>
        <v>48.699999999999932</v>
      </c>
      <c r="G28" s="32">
        <f t="shared" si="5"/>
        <v>452.01</v>
      </c>
      <c r="H28" s="32">
        <f>IF(H$16="yes",IF(C28*12*1.6&gt;=L$35,ROUND(H$35*H$8/12,2),ROUND(C28*1.6*[1]Input!B$63,2)),0)</f>
        <v>505.6</v>
      </c>
      <c r="I28" s="32">
        <f>IF(I$16="yes",IF(C28*12*1.6&gt;=L$35,ROUND(I$35*H$8/12,2),ROUND(C28*1.6*[1]Input!B$65*(1+J$15),2)),0)</f>
        <v>150.16</v>
      </c>
      <c r="J28" s="52">
        <v>0</v>
      </c>
      <c r="K28" s="32">
        <f t="shared" si="0"/>
        <v>1386.66</v>
      </c>
      <c r="L28" s="32">
        <f t="shared" si="1"/>
        <v>2863.34</v>
      </c>
      <c r="M28" s="53">
        <f t="shared" si="6"/>
        <v>80</v>
      </c>
      <c r="N28" s="53">
        <f t="shared" si="2"/>
        <v>2943.34</v>
      </c>
      <c r="O28" s="16"/>
      <c r="P28" s="55"/>
    </row>
    <row r="29" spans="1:16" x14ac:dyDescent="0.2">
      <c r="A29" s="7"/>
      <c r="B29" s="9" t="s">
        <v>39</v>
      </c>
      <c r="C29" s="32">
        <f t="shared" si="3"/>
        <v>4250</v>
      </c>
      <c r="D29" s="32">
        <f t="shared" si="4"/>
        <v>0</v>
      </c>
      <c r="E29" s="32">
        <f>IF(C29=0,0,IF(C29&lt;3500/12,0,IF((SUM(E$19:E28)+ROUND((C29+M29*H$8-((3500)/12))*[1]Input!C$58,2))&lt;=E$35,ROUND(((C29+M29)-((3500)/12))*[1]Input!C$58,2),E$35-SUM(E$19:E28))))</f>
        <v>230.19</v>
      </c>
      <c r="F29" s="32">
        <f>IF((SUM(F$19:F28)+ROUND((C29+((I$12+I$9)/12))*[1]Input!B$58,2))&lt;=F$35,ROUND((C29+((I$12+I$9)/12))*[1]Input!B$58,2),F$35-SUM(F$19:F28))</f>
        <v>0</v>
      </c>
      <c r="G29" s="32">
        <f t="shared" si="5"/>
        <v>452.01</v>
      </c>
      <c r="H29" s="32">
        <f>IF(H$16="yes",IF(C29*12*1.6&gt;=L$35,ROUND(H$35*H$8/12,2),ROUND(C29*1.6*[1]Input!B$63,2)),0)</f>
        <v>505.6</v>
      </c>
      <c r="I29" s="32">
        <f>IF(I$16="yes",IF(C29*12*1.6&gt;=L$35,ROUND(I$35*H$8/12,2),ROUND(C29*1.6*[1]Input!B$65*(1+J$15),2)),0)</f>
        <v>150.16</v>
      </c>
      <c r="J29" s="52">
        <v>0</v>
      </c>
      <c r="K29" s="32">
        <f t="shared" si="0"/>
        <v>1337.9600000000003</v>
      </c>
      <c r="L29" s="32">
        <f t="shared" si="1"/>
        <v>2912.04</v>
      </c>
      <c r="M29" s="53">
        <f t="shared" si="6"/>
        <v>80</v>
      </c>
      <c r="N29" s="53">
        <f t="shared" si="2"/>
        <v>2992.04</v>
      </c>
      <c r="O29" s="16"/>
      <c r="P29" s="55"/>
    </row>
    <row r="30" spans="1:16" x14ac:dyDescent="0.2">
      <c r="A30" s="7"/>
      <c r="B30" s="9" t="s">
        <v>40</v>
      </c>
      <c r="C30" s="32">
        <f t="shared" si="3"/>
        <v>4250</v>
      </c>
      <c r="D30" s="32">
        <f t="shared" si="4"/>
        <v>0</v>
      </c>
      <c r="E30" s="32">
        <f>IF(C30=0,0,IF(C30&lt;3500/12,0,IF((SUM(E$19:E29)+ROUND((C30+M30*H$8-((3500)/12))*[1]Input!C$58,2))&lt;=E$35,ROUND(((C30+M30)-((3500)/12))*[1]Input!C$58,2),E$35-SUM(E$19:E29))))</f>
        <v>230.19</v>
      </c>
      <c r="F30" s="32">
        <f>IF((SUM(F$19:F29)+ROUND((C30+((I$12+I$9)/12))*[1]Input!B$58,2))&lt;=F$35,ROUND((C30+((I$12+I$9)/12))*[1]Input!B$58,2),F$35-SUM(F$19:F29))</f>
        <v>0</v>
      </c>
      <c r="G30" s="32">
        <f t="shared" si="5"/>
        <v>452.01</v>
      </c>
      <c r="H30" s="32">
        <f>IF(H$16="yes",IF(C30*12*1.6&gt;=L$35,ROUND(H$35*H$8/12,2),ROUND(C30*1.6*[1]Input!B$63,2)),0)</f>
        <v>505.6</v>
      </c>
      <c r="I30" s="32">
        <f>IF(I$16="yes",IF(C30*12*1.6&gt;=L$35,ROUND(I$35*H$8/12,2),ROUND(C30*1.6*[1]Input!B$65*(1+J$15),2)),0)</f>
        <v>150.16</v>
      </c>
      <c r="J30" s="52">
        <v>0</v>
      </c>
      <c r="K30" s="32">
        <f t="shared" si="0"/>
        <v>1337.9600000000003</v>
      </c>
      <c r="L30" s="32">
        <f t="shared" si="1"/>
        <v>2912.04</v>
      </c>
      <c r="M30" s="53">
        <f t="shared" si="6"/>
        <v>80</v>
      </c>
      <c r="N30" s="53">
        <f t="shared" si="2"/>
        <v>2992.04</v>
      </c>
      <c r="O30" s="31"/>
      <c r="P30" s="9"/>
    </row>
    <row r="31" spans="1:16" x14ac:dyDescent="0.2">
      <c r="A31" s="7"/>
      <c r="C31" s="56" t="s">
        <v>41</v>
      </c>
      <c r="D31" s="56"/>
      <c r="E31" s="56" t="s">
        <v>41</v>
      </c>
      <c r="F31" s="56" t="s">
        <v>41</v>
      </c>
      <c r="G31" s="56" t="s">
        <v>41</v>
      </c>
      <c r="H31" s="56" t="s">
        <v>41</v>
      </c>
      <c r="I31" s="56" t="s">
        <v>41</v>
      </c>
      <c r="J31" s="56"/>
      <c r="K31" s="56" t="s">
        <v>41</v>
      </c>
      <c r="L31" s="56" t="s">
        <v>41</v>
      </c>
      <c r="M31" s="56" t="s">
        <v>41</v>
      </c>
      <c r="N31" s="56" t="s">
        <v>41</v>
      </c>
      <c r="O31" s="31"/>
      <c r="P31" s="9"/>
    </row>
    <row r="32" spans="1:16" x14ac:dyDescent="0.2">
      <c r="A32" s="7"/>
      <c r="C32" s="32">
        <f t="shared" ref="C32:L32" si="7">SUM(C19:C30)</f>
        <v>49000</v>
      </c>
      <c r="D32" s="32">
        <f t="shared" si="7"/>
        <v>0</v>
      </c>
      <c r="E32" s="32">
        <f t="shared" si="7"/>
        <v>2648.28</v>
      </c>
      <c r="F32" s="32">
        <f t="shared" si="7"/>
        <v>952.74</v>
      </c>
      <c r="G32" s="32">
        <f t="shared" si="7"/>
        <v>5424.1200000000017</v>
      </c>
      <c r="H32" s="32">
        <f>SUM(H19:H30)</f>
        <v>6067.2000000000007</v>
      </c>
      <c r="I32" s="32">
        <f>SUM(I19:I30)</f>
        <v>1801.9200000000003</v>
      </c>
      <c r="J32" s="32">
        <f>SUM(J19:J30)</f>
        <v>0</v>
      </c>
      <c r="K32" s="32">
        <f t="shared" si="7"/>
        <v>16894.259999999998</v>
      </c>
      <c r="L32" s="32">
        <f t="shared" si="7"/>
        <v>32105.739999999994</v>
      </c>
      <c r="M32" s="32">
        <f>SUM(M19:M30)</f>
        <v>960</v>
      </c>
      <c r="N32" s="32">
        <f>SUM(N19:N30)</f>
        <v>33065.739999999991</v>
      </c>
      <c r="O32" s="31"/>
      <c r="P32" s="9"/>
    </row>
    <row r="33" spans="1:16" ht="13.5" thickBot="1" x14ac:dyDescent="0.25">
      <c r="A33" s="7"/>
      <c r="B33" s="32"/>
      <c r="C33" s="56" t="s">
        <v>42</v>
      </c>
      <c r="D33" s="56"/>
      <c r="E33" s="56" t="s">
        <v>42</v>
      </c>
      <c r="F33" s="56" t="s">
        <v>42</v>
      </c>
      <c r="G33" s="56" t="s">
        <v>42</v>
      </c>
      <c r="H33" s="56" t="s">
        <v>42</v>
      </c>
      <c r="I33" s="56" t="s">
        <v>42</v>
      </c>
      <c r="J33" s="56"/>
      <c r="K33" s="56" t="s">
        <v>42</v>
      </c>
      <c r="L33" s="56" t="s">
        <v>42</v>
      </c>
      <c r="M33" s="56" t="s">
        <v>42</v>
      </c>
      <c r="N33" s="56" t="s">
        <v>42</v>
      </c>
      <c r="O33" s="31"/>
      <c r="P33" s="9"/>
    </row>
    <row r="34" spans="1:16" s="62" customFormat="1" ht="13.5" thickBot="1" x14ac:dyDescent="0.25">
      <c r="A34" s="57"/>
      <c r="B34" s="36"/>
      <c r="C34" s="41" t="s">
        <v>43</v>
      </c>
      <c r="D34" s="41" t="s">
        <v>43</v>
      </c>
      <c r="E34" s="41" t="s">
        <v>44</v>
      </c>
      <c r="F34" s="58" t="s">
        <v>45</v>
      </c>
      <c r="G34" s="41" t="s">
        <v>46</v>
      </c>
      <c r="H34" s="41" t="s">
        <v>47</v>
      </c>
      <c r="I34" s="59"/>
      <c r="J34" s="59"/>
      <c r="K34" s="60" t="s">
        <v>48</v>
      </c>
      <c r="L34" s="61">
        <f>+[1]Input!C62</f>
        <v>75840</v>
      </c>
      <c r="M34" s="53"/>
      <c r="N34" s="53"/>
      <c r="O34" s="31"/>
      <c r="P34" s="9"/>
    </row>
    <row r="35" spans="1:16" ht="26.25" customHeight="1" thickBot="1" x14ac:dyDescent="0.25">
      <c r="A35" s="7"/>
      <c r="B35" s="63" t="s">
        <v>49</v>
      </c>
      <c r="C35" s="64"/>
      <c r="D35" s="64"/>
      <c r="E35" s="65">
        <f>+[1]Input!C59</f>
        <v>3499.8</v>
      </c>
      <c r="F35" s="65">
        <f>+[1]Input!B59</f>
        <v>952.74</v>
      </c>
      <c r="G35" s="64"/>
      <c r="H35" s="66">
        <f>+[1]Input!C63</f>
        <v>6067.2</v>
      </c>
      <c r="I35" s="67">
        <f>ROUND(+[1]Input!C65*(1+J15),2)</f>
        <v>1801.96</v>
      </c>
      <c r="J35" s="68"/>
      <c r="K35" s="69" t="s">
        <v>50</v>
      </c>
      <c r="L35" s="70">
        <f>IF(H8&lt;0.5,0,L34*H8)</f>
        <v>75840</v>
      </c>
    </row>
    <row r="36" spans="1:16" ht="13.5" thickBot="1" x14ac:dyDescent="0.25">
      <c r="A36" s="7"/>
      <c r="B36" s="21"/>
      <c r="C36" s="88" t="s">
        <v>51</v>
      </c>
      <c r="D36" s="89"/>
      <c r="E36" s="89"/>
      <c r="F36" s="89"/>
      <c r="G36" s="71">
        <f>IF(E32=0,0,ROUND(+E32/[1]Input!C58,4)+3500)</f>
        <v>49961.052600000003</v>
      </c>
      <c r="H36" s="90" t="s">
        <v>52</v>
      </c>
      <c r="I36" s="91"/>
      <c r="J36" s="91"/>
      <c r="K36" s="91"/>
      <c r="L36" s="72">
        <f>IF(F32=0,0,ROUND(F32/[1]Input!B58,4))</f>
        <v>60300</v>
      </c>
    </row>
    <row r="37" spans="1:16" x14ac:dyDescent="0.2">
      <c r="A37" s="7"/>
      <c r="J37" s="73"/>
    </row>
    <row r="38" spans="1:16" x14ac:dyDescent="0.2">
      <c r="D38" s="3"/>
      <c r="G38" s="74"/>
    </row>
    <row r="39" spans="1:16" x14ac:dyDescent="0.2">
      <c r="A39" s="7"/>
      <c r="B39" s="78" t="s">
        <v>53</v>
      </c>
      <c r="C39" s="79"/>
      <c r="D39" s="78"/>
      <c r="E39" s="78"/>
      <c r="F39" s="78"/>
      <c r="G39" s="78"/>
      <c r="I39" s="75"/>
      <c r="J39" s="29"/>
    </row>
    <row r="40" spans="1:16" x14ac:dyDescent="0.2">
      <c r="A40" s="7"/>
      <c r="B40" s="6"/>
    </row>
    <row r="41" spans="1:16" x14ac:dyDescent="0.2">
      <c r="A41" s="7"/>
    </row>
    <row r="42" spans="1:16" x14ac:dyDescent="0.2">
      <c r="A42" s="7"/>
    </row>
    <row r="43" spans="1:16" x14ac:dyDescent="0.2">
      <c r="A43" s="7"/>
      <c r="F43" s="32"/>
    </row>
    <row r="44" spans="1:16" x14ac:dyDescent="0.2">
      <c r="B44" s="76"/>
      <c r="G44" s="21"/>
    </row>
    <row r="46" spans="1:16" x14ac:dyDescent="0.2">
      <c r="B46" s="21"/>
      <c r="C46" s="4"/>
      <c r="D46" s="4"/>
      <c r="E46" s="4"/>
      <c r="F46" s="4"/>
      <c r="G46" s="77"/>
      <c r="H46" s="4"/>
      <c r="I46" s="77"/>
      <c r="J46" s="77"/>
      <c r="K46" s="77"/>
      <c r="L46" s="4"/>
    </row>
    <row r="47" spans="1:16" x14ac:dyDescent="0.2">
      <c r="B47" s="21"/>
      <c r="C47" s="4"/>
      <c r="D47" s="4"/>
      <c r="E47" s="4"/>
      <c r="F47" s="4"/>
      <c r="G47" s="4"/>
      <c r="H47" s="4"/>
      <c r="I47" s="4"/>
      <c r="J47" s="4"/>
      <c r="K47" s="4"/>
      <c r="L47" s="4"/>
    </row>
    <row r="48" spans="1:16" x14ac:dyDescent="0.2">
      <c r="B48" s="21"/>
      <c r="C48" s="4"/>
      <c r="D48" s="4"/>
      <c r="E48" s="4"/>
      <c r="F48" s="4"/>
      <c r="G48" s="4"/>
      <c r="H48" s="4"/>
      <c r="I48" s="4"/>
      <c r="J48" s="4"/>
      <c r="K48" s="4"/>
      <c r="L48" s="4"/>
    </row>
    <row r="49" spans="2:12" x14ac:dyDescent="0.2">
      <c r="B49" s="21"/>
      <c r="C49" s="4"/>
      <c r="D49" s="4"/>
      <c r="E49" s="4"/>
      <c r="F49" s="4"/>
      <c r="G49" s="4"/>
      <c r="H49" s="4"/>
      <c r="I49" s="4"/>
      <c r="J49" s="4"/>
      <c r="K49" s="4"/>
      <c r="L49" s="4"/>
    </row>
    <row r="50" spans="2:12" x14ac:dyDescent="0.2">
      <c r="B50" s="21"/>
      <c r="C50" s="4"/>
      <c r="D50" s="4"/>
      <c r="E50" s="4"/>
      <c r="F50" s="4"/>
      <c r="G50" s="4"/>
      <c r="H50" s="4"/>
      <c r="I50" s="4"/>
      <c r="J50" s="4"/>
      <c r="K50" s="4"/>
      <c r="L50" s="4"/>
    </row>
    <row r="51" spans="2:12" x14ac:dyDescent="0.2">
      <c r="B51" s="21"/>
      <c r="C51" s="4"/>
      <c r="D51" s="4"/>
      <c r="E51" s="4"/>
      <c r="F51" s="4"/>
      <c r="G51" s="4"/>
      <c r="H51" s="4"/>
      <c r="I51" s="4"/>
      <c r="J51" s="4"/>
      <c r="K51" s="4"/>
      <c r="L51" s="4"/>
    </row>
    <row r="52" spans="2:12" x14ac:dyDescent="0.2">
      <c r="B52" s="21"/>
      <c r="C52" s="4"/>
      <c r="D52" s="4"/>
      <c r="E52" s="4"/>
      <c r="F52" s="4"/>
      <c r="G52" s="4"/>
      <c r="H52" s="4"/>
      <c r="I52" s="4"/>
      <c r="J52" s="4"/>
      <c r="K52" s="4"/>
      <c r="L52" s="4"/>
    </row>
    <row r="53" spans="2:12" x14ac:dyDescent="0.2">
      <c r="B53" s="21"/>
      <c r="C53" s="4"/>
      <c r="D53" s="4"/>
      <c r="E53" s="4"/>
      <c r="F53" s="4"/>
      <c r="G53" s="4"/>
      <c r="H53" s="4"/>
      <c r="I53" s="4"/>
      <c r="J53" s="4"/>
      <c r="K53" s="4"/>
      <c r="L53" s="4"/>
    </row>
    <row r="54" spans="2:12" x14ac:dyDescent="0.2">
      <c r="B54" s="21"/>
      <c r="C54" s="4"/>
      <c r="D54" s="4"/>
      <c r="E54" s="4"/>
      <c r="F54" s="4"/>
      <c r="G54" s="4"/>
      <c r="H54" s="4"/>
      <c r="I54" s="4"/>
      <c r="J54" s="4"/>
      <c r="K54" s="4"/>
      <c r="L54" s="4"/>
    </row>
  </sheetData>
  <mergeCells count="6">
    <mergeCell ref="B3:L3"/>
    <mergeCell ref="B4:L4"/>
    <mergeCell ref="B5:L5"/>
    <mergeCell ref="C8:G8"/>
    <mergeCell ref="C36:F36"/>
    <mergeCell ref="H36:K36"/>
  </mergeCells>
  <conditionalFormatting sqref="J19:J30">
    <cfRule type="expression" dxfId="0" priority="1" stopIfTrue="1">
      <formula>$J$16=Yes</formula>
    </cfRule>
  </conditionalFormatting>
  <hyperlinks>
    <hyperlink ref="D6" r:id="rId1" xr:uid="{F8EAB9DA-5F32-4171-A583-DDEA5AB2FF82}"/>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15F6B-D4B7-41AD-B6AF-4124CCFFFAAB}">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Payroll Register</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Nugent</dc:creator>
  <cp:lastModifiedBy>Carol Nugent</cp:lastModifiedBy>
  <dcterms:created xsi:type="dcterms:W3CDTF">2022-02-28T15:45:23Z</dcterms:created>
  <dcterms:modified xsi:type="dcterms:W3CDTF">2022-02-28T17:47:56Z</dcterms:modified>
</cp:coreProperties>
</file>